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PROJECT TA\PROPOSAL TA\TA\"/>
    </mc:Choice>
  </mc:AlternateContent>
  <bookViews>
    <workbookView xWindow="-30" yWindow="15" windowWidth="10125" windowHeight="10425" firstSheet="7" activeTab="10"/>
  </bookViews>
  <sheets>
    <sheet name="KLASIFIKASI KOMPONEN" sheetId="14" r:id="rId1"/>
    <sheet name="TTF" sheetId="1" r:id="rId2"/>
    <sheet name="MTTR Corrective" sheetId="2" r:id="rId3"/>
    <sheet name="Data Biaya-Biaya" sheetId="3" r:id="rId4"/>
    <sheet name="Distribusi Kerusakan" sheetId="4" r:id="rId5"/>
    <sheet name="Data Ref UI" sheetId="5" r:id="rId6"/>
    <sheet name="MTTF &amp; Summary Dist" sheetId="6" r:id="rId7"/>
    <sheet name=" Cost of Failure &amp; Production L" sheetId="9" r:id="rId8"/>
    <sheet name="Cost of Preventive &amp; MTTR Prev" sheetId="8" r:id="rId9"/>
    <sheet name="AGE.R SENSOR" sheetId="11" r:id="rId10"/>
    <sheet name="COST " sheetId="15" r:id="rId1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5" l="1"/>
  <c r="E5" i="15"/>
  <c r="E8" i="15"/>
  <c r="N30" i="4" l="1"/>
  <c r="N29" i="4"/>
  <c r="N27" i="4"/>
  <c r="N28" i="4" s="1"/>
  <c r="E3" i="6"/>
  <c r="C5" i="4" l="1"/>
  <c r="D5" i="4"/>
  <c r="F5" i="4"/>
  <c r="K5" i="4"/>
  <c r="L5" i="4"/>
  <c r="M5" i="4"/>
  <c r="T5" i="4"/>
  <c r="U5" i="4" s="1"/>
  <c r="W5" i="4"/>
  <c r="AB5" i="4"/>
  <c r="AC5" i="4"/>
  <c r="AD5" i="4" s="1"/>
  <c r="AE5" i="4" s="1"/>
  <c r="AF5" i="4"/>
  <c r="C6" i="4"/>
  <c r="D6" i="4" s="1"/>
  <c r="F6" i="4"/>
  <c r="K6" i="4"/>
  <c r="L6" i="4"/>
  <c r="M6" i="4" s="1"/>
  <c r="P6" i="4" s="1"/>
  <c r="T6" i="4"/>
  <c r="W6" i="4"/>
  <c r="AB6" i="4"/>
  <c r="AC6" i="4"/>
  <c r="AD6" i="4" s="1"/>
  <c r="AE6" i="4"/>
  <c r="AG6" i="4"/>
  <c r="C7" i="4"/>
  <c r="D7" i="4" s="1"/>
  <c r="F7" i="4"/>
  <c r="K7" i="4"/>
  <c r="L7" i="4"/>
  <c r="T7" i="4"/>
  <c r="U7" i="4" s="1"/>
  <c r="W7" i="4"/>
  <c r="AB7" i="4"/>
  <c r="AC7" i="4"/>
  <c r="AD7" i="4" s="1"/>
  <c r="AF7" i="4"/>
  <c r="C8" i="4"/>
  <c r="D8" i="4" s="1"/>
  <c r="F8" i="4"/>
  <c r="K8" i="4"/>
  <c r="L8" i="4"/>
  <c r="M8" i="4" s="1"/>
  <c r="P8" i="4" s="1"/>
  <c r="T8" i="4"/>
  <c r="U8" i="4" s="1"/>
  <c r="W8" i="4"/>
  <c r="AB8" i="4"/>
  <c r="AF8" i="4" s="1"/>
  <c r="AC8" i="4"/>
  <c r="AD8" i="4" s="1"/>
  <c r="AE8" i="4" s="1"/>
  <c r="C9" i="4"/>
  <c r="D9" i="4"/>
  <c r="F9" i="4"/>
  <c r="K9" i="4"/>
  <c r="L9" i="4"/>
  <c r="M9" i="4"/>
  <c r="P9" i="4" s="1"/>
  <c r="T9" i="4"/>
  <c r="U9" i="4" s="1"/>
  <c r="W9" i="4"/>
  <c r="AB9" i="4"/>
  <c r="AC9" i="4"/>
  <c r="AD9" i="4" s="1"/>
  <c r="AE9" i="4" s="1"/>
  <c r="AF9" i="4"/>
  <c r="C10" i="4"/>
  <c r="D10" i="4" s="1"/>
  <c r="F10" i="4"/>
  <c r="K10" i="4"/>
  <c r="L10" i="4"/>
  <c r="M10" i="4" s="1"/>
  <c r="P10" i="4" s="1"/>
  <c r="T10" i="4"/>
  <c r="U10" i="4" s="1"/>
  <c r="W10" i="4"/>
  <c r="AB10" i="4"/>
  <c r="AF10" i="4" s="1"/>
  <c r="AC10" i="4"/>
  <c r="AD10" i="4" s="1"/>
  <c r="AE10" i="4"/>
  <c r="AG10" i="4"/>
  <c r="C11" i="4"/>
  <c r="D11" i="4" s="1"/>
  <c r="F11" i="4"/>
  <c r="K11" i="4"/>
  <c r="L11" i="4"/>
  <c r="M11" i="4" s="1"/>
  <c r="P11" i="4" s="1"/>
  <c r="T11" i="4"/>
  <c r="U11" i="4" s="1"/>
  <c r="W11" i="4"/>
  <c r="AB11" i="4"/>
  <c r="AC11" i="4"/>
  <c r="AD11" i="4" s="1"/>
  <c r="AF11" i="4"/>
  <c r="C12" i="4"/>
  <c r="D12" i="4" s="1"/>
  <c r="F12" i="4"/>
  <c r="K12" i="4"/>
  <c r="L12" i="4"/>
  <c r="M12" i="4" s="1"/>
  <c r="P12" i="4" s="1"/>
  <c r="T12" i="4"/>
  <c r="U12" i="4" s="1"/>
  <c r="W12" i="4"/>
  <c r="AB12" i="4"/>
  <c r="AF12" i="4" s="1"/>
  <c r="AC12" i="4"/>
  <c r="AD12" i="4" s="1"/>
  <c r="AE12" i="4" s="1"/>
  <c r="C13" i="4"/>
  <c r="D13" i="4" s="1"/>
  <c r="F13" i="4"/>
  <c r="K13" i="4"/>
  <c r="L13" i="4"/>
  <c r="M13" i="4" s="1"/>
  <c r="P13" i="4" s="1"/>
  <c r="T13" i="4"/>
  <c r="U13" i="4" s="1"/>
  <c r="W13" i="4"/>
  <c r="AB13" i="4"/>
  <c r="AC13" i="4"/>
  <c r="AD13" i="4" s="1"/>
  <c r="AF13" i="4"/>
  <c r="C14" i="4"/>
  <c r="D14" i="4" s="1"/>
  <c r="F14" i="4"/>
  <c r="K14" i="4"/>
  <c r="L14" i="4"/>
  <c r="M14" i="4" s="1"/>
  <c r="P14" i="4" s="1"/>
  <c r="T14" i="4"/>
  <c r="U14" i="4" s="1"/>
  <c r="W14" i="4"/>
  <c r="AB14" i="4"/>
  <c r="AF14" i="4" s="1"/>
  <c r="AC14" i="4"/>
  <c r="AD14" i="4" s="1"/>
  <c r="AE14" i="4" s="1"/>
  <c r="AG14" i="4"/>
  <c r="C15" i="4"/>
  <c r="D15" i="4" s="1"/>
  <c r="F15" i="4"/>
  <c r="K15" i="4"/>
  <c r="L15" i="4"/>
  <c r="M15" i="4" s="1"/>
  <c r="P15" i="4" s="1"/>
  <c r="T15" i="4"/>
  <c r="U15" i="4" s="1"/>
  <c r="W15" i="4"/>
  <c r="AB15" i="4"/>
  <c r="AC15" i="4"/>
  <c r="AD15" i="4" s="1"/>
  <c r="AF15" i="4"/>
  <c r="C16" i="4"/>
  <c r="D16" i="4" s="1"/>
  <c r="F16" i="4"/>
  <c r="K16" i="4"/>
  <c r="L16" i="4"/>
  <c r="M16" i="4" s="1"/>
  <c r="P16" i="4" s="1"/>
  <c r="T16" i="4"/>
  <c r="U16" i="4" s="1"/>
  <c r="W16" i="4"/>
  <c r="AB16" i="4"/>
  <c r="AF16" i="4" s="1"/>
  <c r="AC16" i="4"/>
  <c r="AD16" i="4" s="1"/>
  <c r="C17" i="4"/>
  <c r="D17" i="4" s="1"/>
  <c r="F17" i="4"/>
  <c r="K17" i="4"/>
  <c r="L17" i="4"/>
  <c r="M17" i="4" s="1"/>
  <c r="P17" i="4" s="1"/>
  <c r="T17" i="4"/>
  <c r="U17" i="4" s="1"/>
  <c r="W17" i="4"/>
  <c r="AB17" i="4"/>
  <c r="AC17" i="4"/>
  <c r="AD17" i="4" s="1"/>
  <c r="AF17" i="4"/>
  <c r="C18" i="4"/>
  <c r="D18" i="4" s="1"/>
  <c r="F18" i="4"/>
  <c r="K18" i="4"/>
  <c r="L18" i="4"/>
  <c r="M18" i="4" s="1"/>
  <c r="P18" i="4" s="1"/>
  <c r="T18" i="4"/>
  <c r="U18" i="4" s="1"/>
  <c r="W18" i="4"/>
  <c r="AB18" i="4"/>
  <c r="AF18" i="4" s="1"/>
  <c r="AC18" i="4"/>
  <c r="AD18" i="4" s="1"/>
  <c r="AE18" i="4" s="1"/>
  <c r="AG18" i="4"/>
  <c r="C19" i="4"/>
  <c r="D19" i="4" s="1"/>
  <c r="F19" i="4"/>
  <c r="K19" i="4"/>
  <c r="L19" i="4"/>
  <c r="M19" i="4" s="1"/>
  <c r="O19" i="4"/>
  <c r="T19" i="4"/>
  <c r="U19" i="4" s="1"/>
  <c r="W19" i="4"/>
  <c r="AB19" i="4"/>
  <c r="AF19" i="4" s="1"/>
  <c r="AC19" i="4"/>
  <c r="AD19" i="4" s="1"/>
  <c r="C20" i="4"/>
  <c r="F20" i="4"/>
  <c r="K20" i="4"/>
  <c r="O20" i="4" s="1"/>
  <c r="L20" i="4"/>
  <c r="M20" i="4" s="1"/>
  <c r="P20" i="4"/>
  <c r="T20" i="4"/>
  <c r="U20" i="4"/>
  <c r="W20" i="4"/>
  <c r="AB20" i="4"/>
  <c r="AF20" i="4" s="1"/>
  <c r="AC20" i="4"/>
  <c r="AD20" i="4"/>
  <c r="AG20" i="4" s="1"/>
  <c r="C21" i="4"/>
  <c r="D21" i="4" s="1"/>
  <c r="E21" i="4" s="1"/>
  <c r="F21" i="4"/>
  <c r="K21" i="4"/>
  <c r="L21" i="4"/>
  <c r="M21" i="4" s="1"/>
  <c r="N21" i="4" s="1"/>
  <c r="O21" i="4"/>
  <c r="T21" i="4"/>
  <c r="U21" i="4" s="1"/>
  <c r="W21" i="4"/>
  <c r="AB21" i="4"/>
  <c r="AF21" i="4" s="1"/>
  <c r="AC21" i="4"/>
  <c r="AD21" i="4" s="1"/>
  <c r="AG21" i="4" s="1"/>
  <c r="C22" i="4"/>
  <c r="D22" i="4" s="1"/>
  <c r="E22" i="4" s="1"/>
  <c r="F22" i="4"/>
  <c r="K22" i="4"/>
  <c r="O22" i="4" s="1"/>
  <c r="L22" i="4"/>
  <c r="M22" i="4" s="1"/>
  <c r="N22" i="4"/>
  <c r="P22" i="4"/>
  <c r="T22" i="4"/>
  <c r="U22" i="4" s="1"/>
  <c r="W22" i="4"/>
  <c r="AB22" i="4"/>
  <c r="AF22" i="4" s="1"/>
  <c r="AC22" i="4"/>
  <c r="AD22" i="4" s="1"/>
  <c r="AG22" i="4" s="1"/>
  <c r="B23" i="4"/>
  <c r="J23" i="4"/>
  <c r="S23" i="4"/>
  <c r="AA23" i="4"/>
  <c r="A17" i="14"/>
  <c r="N20" i="4" l="1"/>
  <c r="AE17" i="4"/>
  <c r="AE16" i="4"/>
  <c r="AE13" i="4"/>
  <c r="AG12" i="4"/>
  <c r="AF6" i="4"/>
  <c r="AF23" i="4" s="1"/>
  <c r="AB23" i="4"/>
  <c r="U6" i="4"/>
  <c r="X6" i="4" s="1"/>
  <c r="T23" i="4"/>
  <c r="E19" i="4"/>
  <c r="G19" i="4"/>
  <c r="AG16" i="4"/>
  <c r="AG8" i="4"/>
  <c r="M7" i="4"/>
  <c r="P7" i="4" s="1"/>
  <c r="L23" i="4"/>
  <c r="F23" i="4"/>
  <c r="N19" i="4"/>
  <c r="AE15" i="4"/>
  <c r="AE11" i="4"/>
  <c r="AE7" i="4"/>
  <c r="AG19" i="4"/>
  <c r="AD23" i="4"/>
  <c r="AC23" i="4"/>
  <c r="P21" i="4"/>
  <c r="P19" i="4"/>
  <c r="AG17" i="4"/>
  <c r="AG15" i="4"/>
  <c r="AG13" i="4"/>
  <c r="AG11" i="4"/>
  <c r="AG9" i="4"/>
  <c r="AG7" i="4"/>
  <c r="AG5" i="4"/>
  <c r="G22" i="4"/>
  <c r="G21" i="4"/>
  <c r="W23" i="4"/>
  <c r="V18" i="4"/>
  <c r="X18" i="4"/>
  <c r="N17" i="4"/>
  <c r="O17" i="4"/>
  <c r="E17" i="4"/>
  <c r="G17" i="4"/>
  <c r="V16" i="4"/>
  <c r="X16" i="4"/>
  <c r="N15" i="4"/>
  <c r="O15" i="4"/>
  <c r="E15" i="4"/>
  <c r="G15" i="4"/>
  <c r="V14" i="4"/>
  <c r="X14" i="4"/>
  <c r="N13" i="4"/>
  <c r="O13" i="4"/>
  <c r="E13" i="4"/>
  <c r="G13" i="4"/>
  <c r="V12" i="4"/>
  <c r="X12" i="4"/>
  <c r="N11" i="4"/>
  <c r="O11" i="4"/>
  <c r="E11" i="4"/>
  <c r="G11" i="4"/>
  <c r="V10" i="4"/>
  <c r="X10" i="4"/>
  <c r="N9" i="4"/>
  <c r="O9" i="4"/>
  <c r="E9" i="4"/>
  <c r="G9" i="4"/>
  <c r="V8" i="4"/>
  <c r="X8" i="4"/>
  <c r="O7" i="4"/>
  <c r="E7" i="4"/>
  <c r="G7" i="4"/>
  <c r="P5" i="4"/>
  <c r="N5" i="4"/>
  <c r="O5" i="4"/>
  <c r="K23" i="4"/>
  <c r="AE22" i="4"/>
  <c r="V22" i="4"/>
  <c r="X22" i="4"/>
  <c r="AE21" i="4"/>
  <c r="V21" i="4"/>
  <c r="X21" i="4"/>
  <c r="AE20" i="4"/>
  <c r="V20" i="4"/>
  <c r="X20" i="4"/>
  <c r="D20" i="4"/>
  <c r="C23" i="4"/>
  <c r="AE19" i="4"/>
  <c r="V19" i="4"/>
  <c r="X19" i="4"/>
  <c r="N18" i="4"/>
  <c r="O18" i="4"/>
  <c r="E18" i="4"/>
  <c r="G18" i="4"/>
  <c r="V17" i="4"/>
  <c r="X17" i="4"/>
  <c r="N16" i="4"/>
  <c r="O16" i="4"/>
  <c r="E16" i="4"/>
  <c r="G16" i="4"/>
  <c r="V15" i="4"/>
  <c r="X15" i="4"/>
  <c r="N14" i="4"/>
  <c r="O14" i="4"/>
  <c r="E14" i="4"/>
  <c r="G14" i="4"/>
  <c r="V13" i="4"/>
  <c r="X13" i="4"/>
  <c r="N12" i="4"/>
  <c r="O12" i="4"/>
  <c r="E12" i="4"/>
  <c r="G12" i="4"/>
  <c r="V11" i="4"/>
  <c r="X11" i="4"/>
  <c r="N10" i="4"/>
  <c r="O10" i="4"/>
  <c r="E10" i="4"/>
  <c r="G10" i="4"/>
  <c r="V9" i="4"/>
  <c r="X9" i="4"/>
  <c r="N8" i="4"/>
  <c r="O8" i="4"/>
  <c r="E8" i="4"/>
  <c r="G8" i="4"/>
  <c r="V7" i="4"/>
  <c r="X7" i="4"/>
  <c r="N6" i="4"/>
  <c r="O6" i="4"/>
  <c r="E6" i="4"/>
  <c r="G6" i="4"/>
  <c r="V5" i="4"/>
  <c r="X5" i="4"/>
  <c r="U23" i="4"/>
  <c r="E5" i="4"/>
  <c r="G5" i="4"/>
  <c r="A27" i="11"/>
  <c r="B27" i="11"/>
  <c r="B26" i="11"/>
  <c r="B19" i="11"/>
  <c r="B23" i="11"/>
  <c r="V6" i="4" l="1"/>
  <c r="V23" i="4" s="1"/>
  <c r="N7" i="4"/>
  <c r="AG23" i="4"/>
  <c r="AE23" i="4"/>
  <c r="M23" i="4"/>
  <c r="X23" i="4"/>
  <c r="P23" i="4"/>
  <c r="O23" i="4"/>
  <c r="AE24" i="4"/>
  <c r="E20" i="4"/>
  <c r="E23" i="4" s="1"/>
  <c r="G20" i="4"/>
  <c r="G23" i="4" s="1"/>
  <c r="N23" i="4"/>
  <c r="D23" i="4"/>
  <c r="A15" i="11"/>
  <c r="E2" i="6"/>
  <c r="W24" i="4" l="1"/>
  <c r="N24" i="4"/>
  <c r="F24" i="4"/>
  <c r="G18" i="14"/>
  <c r="D14" i="15"/>
  <c r="E2" i="14"/>
  <c r="B13" i="15" l="1"/>
  <c r="B12" i="14" l="1"/>
  <c r="C12" i="14"/>
  <c r="B4" i="8" s="1"/>
  <c r="B3" i="15" s="1"/>
  <c r="E3" i="15" s="1"/>
  <c r="D12" i="14"/>
  <c r="F8" i="15"/>
  <c r="C4" i="8"/>
  <c r="E7" i="14"/>
  <c r="E9" i="14"/>
  <c r="E10" i="14"/>
  <c r="E11" i="14"/>
  <c r="E8" i="14"/>
  <c r="E3" i="14"/>
  <c r="E6" i="14"/>
  <c r="E4" i="14"/>
  <c r="E5" i="14"/>
  <c r="F2" i="14"/>
  <c r="F3" i="14" s="1"/>
  <c r="F6" i="14" l="1"/>
  <c r="F4" i="14" s="1"/>
  <c r="F5" i="14" s="1"/>
  <c r="F7" i="14" s="1"/>
  <c r="F9" i="14" s="1"/>
  <c r="F10" i="14" s="1"/>
  <c r="F11" i="14" s="1"/>
  <c r="F8" i="14" s="1"/>
  <c r="B5" i="3"/>
  <c r="E12" i="14"/>
  <c r="G2" i="14" s="1"/>
  <c r="G11" i="14" l="1"/>
  <c r="G4" i="14"/>
  <c r="G10" i="14"/>
  <c r="G6" i="14"/>
  <c r="G9" i="14"/>
  <c r="G3" i="14"/>
  <c r="G7" i="14"/>
  <c r="G8" i="14"/>
  <c r="G5" i="14"/>
  <c r="H2" i="14"/>
  <c r="I4" i="14"/>
  <c r="I7" i="14"/>
  <c r="H3" i="14" l="1"/>
  <c r="H4" i="14" s="1"/>
  <c r="H5" i="14" s="1"/>
  <c r="H6" i="14" s="1"/>
  <c r="H7" i="14" s="1"/>
  <c r="H8" i="14" s="1"/>
  <c r="H9" i="14" s="1"/>
  <c r="H10" i="14" s="1"/>
  <c r="H11" i="14" s="1"/>
  <c r="I8" i="14"/>
  <c r="I9" i="14" s="1"/>
  <c r="I10" i="14" s="1"/>
  <c r="I11" i="14" s="1"/>
  <c r="I5" i="14"/>
  <c r="I6" i="14" s="1"/>
  <c r="I2" i="14"/>
  <c r="I3" i="14" s="1"/>
  <c r="G12" i="14"/>
  <c r="I12" i="14" l="1"/>
  <c r="B9" i="8" l="1"/>
  <c r="B3" i="9"/>
  <c r="C12" i="8" l="1"/>
  <c r="B6" i="11" l="1"/>
  <c r="D12" i="8"/>
  <c r="C6" i="9"/>
  <c r="C2" i="2"/>
  <c r="D4" i="8"/>
  <c r="H18" i="5"/>
  <c r="F19" i="5"/>
  <c r="A23" i="5"/>
  <c r="B22" i="5"/>
  <c r="A22" i="5"/>
  <c r="B21" i="5"/>
  <c r="D20" i="5"/>
  <c r="F16" i="5"/>
  <c r="F11" i="5"/>
  <c r="F12" i="5"/>
  <c r="F13" i="5"/>
  <c r="F14" i="5"/>
  <c r="F15" i="5"/>
  <c r="F10" i="5"/>
  <c r="E16" i="5"/>
  <c r="E11" i="5"/>
  <c r="E12" i="5"/>
  <c r="E13" i="5"/>
  <c r="E14" i="5"/>
  <c r="E15" i="5"/>
  <c r="E10" i="5"/>
  <c r="D19" i="5"/>
  <c r="D16" i="5"/>
  <c r="D11" i="5"/>
  <c r="D12" i="5"/>
  <c r="D13" i="5"/>
  <c r="D14" i="5"/>
  <c r="D15" i="5"/>
  <c r="D10" i="5"/>
  <c r="C16" i="5"/>
  <c r="A16" i="5"/>
  <c r="C11" i="5"/>
  <c r="C12" i="5"/>
  <c r="C13" i="5"/>
  <c r="C14" i="5"/>
  <c r="C15" i="5"/>
  <c r="C10" i="5"/>
  <c r="B10" i="5"/>
  <c r="A12" i="5"/>
  <c r="A11" i="5"/>
  <c r="A10" i="5"/>
  <c r="F2" i="5"/>
  <c r="B16" i="5" s="1"/>
  <c r="B18" i="5"/>
  <c r="B11" i="5"/>
  <c r="B12" i="5"/>
  <c r="B13" i="5"/>
  <c r="B14" i="5"/>
  <c r="B15" i="5"/>
  <c r="C8" i="5"/>
  <c r="D8" i="5"/>
  <c r="E8" i="5"/>
  <c r="G8" i="5"/>
  <c r="H8" i="5"/>
  <c r="B8" i="5"/>
  <c r="A13" i="5"/>
  <c r="A14" i="5"/>
  <c r="A15" i="5"/>
  <c r="H3" i="5"/>
  <c r="H4" i="5"/>
  <c r="H5" i="5"/>
  <c r="H6" i="5"/>
  <c r="H7" i="5"/>
  <c r="H2" i="5"/>
  <c r="G3" i="5"/>
  <c r="G4" i="5"/>
  <c r="G5" i="5"/>
  <c r="G6" i="5"/>
  <c r="G7" i="5"/>
  <c r="G2" i="5"/>
  <c r="F3" i="5"/>
  <c r="F4" i="5"/>
  <c r="F5" i="5"/>
  <c r="F6" i="5"/>
  <c r="F7" i="5"/>
  <c r="E3" i="5"/>
  <c r="E4" i="5"/>
  <c r="E5" i="5"/>
  <c r="E6" i="5"/>
  <c r="E7" i="5"/>
  <c r="E2" i="5"/>
  <c r="B9" i="11" l="1"/>
  <c r="D6" i="9"/>
  <c r="E12" i="8"/>
  <c r="D5" i="8"/>
  <c r="F8" i="5"/>
  <c r="B19" i="5" s="1"/>
  <c r="B4" i="15" l="1"/>
  <c r="E6" i="9"/>
  <c r="B7" i="11" s="1"/>
  <c r="E5" i="6"/>
  <c r="E4" i="6"/>
  <c r="B4" i="11"/>
  <c r="B5" i="15" l="1"/>
  <c r="B7" i="15"/>
  <c r="B17" i="9"/>
  <c r="C9" i="9"/>
  <c r="C10" i="9" s="1"/>
  <c r="E6" i="6"/>
  <c r="B3" i="11" s="1"/>
  <c r="B5" i="11"/>
  <c r="E22" i="11" s="1"/>
  <c r="F22" i="11" s="1"/>
  <c r="E3" i="11" l="1"/>
  <c r="E2" i="11"/>
  <c r="F2" i="11" s="1"/>
  <c r="H2" i="11" s="1"/>
  <c r="B15" i="15"/>
  <c r="C15" i="15" s="1"/>
  <c r="G2" i="11"/>
  <c r="B6" i="6"/>
  <c r="E30" i="11"/>
  <c r="E42" i="11"/>
  <c r="E50" i="11"/>
  <c r="E60" i="11"/>
  <c r="E70" i="11"/>
  <c r="E29" i="11"/>
  <c r="E33" i="11"/>
  <c r="E37" i="11"/>
  <c r="E41" i="11"/>
  <c r="E45" i="11"/>
  <c r="E49" i="11"/>
  <c r="E53" i="11"/>
  <c r="E57" i="11"/>
  <c r="E61" i="11"/>
  <c r="E65" i="11"/>
  <c r="E69" i="11"/>
  <c r="E73" i="11"/>
  <c r="E32" i="11"/>
  <c r="E38" i="11"/>
  <c r="E44" i="11"/>
  <c r="E52" i="11"/>
  <c r="E58" i="11"/>
  <c r="E66" i="11"/>
  <c r="E72" i="11"/>
  <c r="E4" i="11"/>
  <c r="E8" i="11"/>
  <c r="E12" i="11"/>
  <c r="E16" i="11"/>
  <c r="E20" i="11"/>
  <c r="E24" i="11"/>
  <c r="E9" i="11"/>
  <c r="E17" i="11"/>
  <c r="E23" i="11"/>
  <c r="E11" i="11"/>
  <c r="E21" i="11"/>
  <c r="E62" i="11"/>
  <c r="E68" i="11"/>
  <c r="E6" i="11"/>
  <c r="E10" i="11"/>
  <c r="E14" i="11"/>
  <c r="E18" i="11"/>
  <c r="E26" i="11"/>
  <c r="E7" i="11"/>
  <c r="E13" i="11"/>
  <c r="E19" i="11"/>
  <c r="E5" i="11"/>
  <c r="E15" i="11"/>
  <c r="E25" i="11"/>
  <c r="E36" i="11"/>
  <c r="E46" i="11"/>
  <c r="E56" i="11"/>
  <c r="E64" i="11"/>
  <c r="E27" i="11"/>
  <c r="E31" i="11"/>
  <c r="E35" i="11"/>
  <c r="E39" i="11"/>
  <c r="E43" i="11"/>
  <c r="E47" i="11"/>
  <c r="E51" i="11"/>
  <c r="E55" i="11"/>
  <c r="E59" i="11"/>
  <c r="E63" i="11"/>
  <c r="E67" i="11"/>
  <c r="E71" i="11"/>
  <c r="E28" i="11"/>
  <c r="E34" i="11"/>
  <c r="E40" i="11"/>
  <c r="E48" i="11"/>
  <c r="E54" i="11"/>
  <c r="B3" i="6"/>
  <c r="B5" i="6"/>
  <c r="B4" i="6"/>
  <c r="G23" i="11" l="1"/>
  <c r="F54" i="11"/>
  <c r="H54" i="11" s="1"/>
  <c r="I54" i="11" s="1"/>
  <c r="G54" i="11"/>
  <c r="F40" i="11"/>
  <c r="H40" i="11" s="1"/>
  <c r="I40" i="11" s="1"/>
  <c r="G40" i="11"/>
  <c r="F28" i="11"/>
  <c r="H28" i="11" s="1"/>
  <c r="G28" i="11"/>
  <c r="G59" i="11"/>
  <c r="F59" i="11"/>
  <c r="G51" i="11"/>
  <c r="F51" i="11"/>
  <c r="G27" i="11"/>
  <c r="F27" i="11"/>
  <c r="G56" i="11"/>
  <c r="F56" i="11"/>
  <c r="F15" i="11"/>
  <c r="H15" i="11" s="1"/>
  <c r="G15" i="11"/>
  <c r="F19" i="11"/>
  <c r="G19" i="11"/>
  <c r="F7" i="11"/>
  <c r="G7" i="11"/>
  <c r="G22" i="11"/>
  <c r="G14" i="11"/>
  <c r="F14" i="11"/>
  <c r="G6" i="11"/>
  <c r="F6" i="11"/>
  <c r="G68" i="11"/>
  <c r="F68" i="11"/>
  <c r="G21" i="11"/>
  <c r="F21" i="11"/>
  <c r="H21" i="11" s="1"/>
  <c r="F23" i="11"/>
  <c r="H23" i="11" s="1"/>
  <c r="G9" i="11"/>
  <c r="F9" i="11"/>
  <c r="F24" i="11"/>
  <c r="G24" i="11"/>
  <c r="F16" i="11"/>
  <c r="G16" i="11"/>
  <c r="F8" i="11"/>
  <c r="G8" i="11"/>
  <c r="F72" i="11"/>
  <c r="G72" i="11"/>
  <c r="F58" i="11"/>
  <c r="G58" i="11"/>
  <c r="F44" i="11"/>
  <c r="G44" i="11"/>
  <c r="G32" i="11"/>
  <c r="F32" i="11"/>
  <c r="F69" i="11"/>
  <c r="G69" i="11"/>
  <c r="F61" i="11"/>
  <c r="G61" i="11"/>
  <c r="F53" i="11"/>
  <c r="G53" i="11"/>
  <c r="F45" i="11"/>
  <c r="G45" i="11"/>
  <c r="F37" i="11"/>
  <c r="G37" i="11"/>
  <c r="F29" i="11"/>
  <c r="G29" i="11"/>
  <c r="F60" i="11"/>
  <c r="G60" i="11"/>
  <c r="G42" i="11"/>
  <c r="F42" i="11"/>
  <c r="G67" i="11"/>
  <c r="F67" i="11"/>
  <c r="G43" i="11"/>
  <c r="F43" i="11"/>
  <c r="H43" i="11" s="1"/>
  <c r="G35" i="11"/>
  <c r="F35" i="11"/>
  <c r="F36" i="11"/>
  <c r="H36" i="11" s="1"/>
  <c r="I36" i="11" s="1"/>
  <c r="G36" i="11"/>
  <c r="F48" i="11"/>
  <c r="G48" i="11"/>
  <c r="F34" i="11"/>
  <c r="G34" i="11"/>
  <c r="G71" i="11"/>
  <c r="F71" i="11"/>
  <c r="G63" i="11"/>
  <c r="F63" i="11"/>
  <c r="G55" i="11"/>
  <c r="F55" i="11"/>
  <c r="G47" i="11"/>
  <c r="F47" i="11"/>
  <c r="G39" i="11"/>
  <c r="F39" i="11"/>
  <c r="H39" i="11" s="1"/>
  <c r="I39" i="11" s="1"/>
  <c r="G31" i="11"/>
  <c r="F31" i="11"/>
  <c r="G64" i="11"/>
  <c r="F64" i="11"/>
  <c r="F46" i="11"/>
  <c r="G46" i="11"/>
  <c r="F25" i="11"/>
  <c r="G25" i="11"/>
  <c r="F5" i="11"/>
  <c r="H5" i="11" s="1"/>
  <c r="G5" i="11"/>
  <c r="F13" i="11"/>
  <c r="G13" i="11"/>
  <c r="G26" i="11"/>
  <c r="F26" i="11"/>
  <c r="G18" i="11"/>
  <c r="F18" i="11"/>
  <c r="G10" i="11"/>
  <c r="F10" i="11"/>
  <c r="G62" i="11"/>
  <c r="F62" i="11"/>
  <c r="H62" i="11" s="1"/>
  <c r="G11" i="11"/>
  <c r="F11" i="11"/>
  <c r="G17" i="11"/>
  <c r="F17" i="11"/>
  <c r="G3" i="11"/>
  <c r="F3" i="11"/>
  <c r="F20" i="11"/>
  <c r="G20" i="11"/>
  <c r="F12" i="11"/>
  <c r="G12" i="11"/>
  <c r="F4" i="11"/>
  <c r="G4" i="11"/>
  <c r="F66" i="11"/>
  <c r="G66" i="11"/>
  <c r="F52" i="11"/>
  <c r="H52" i="11" s="1"/>
  <c r="G52" i="11"/>
  <c r="F38" i="11"/>
  <c r="H38" i="11" s="1"/>
  <c r="G38" i="11"/>
  <c r="I38" i="11"/>
  <c r="F73" i="11"/>
  <c r="G73" i="11"/>
  <c r="F65" i="11"/>
  <c r="G65" i="11"/>
  <c r="F57" i="11"/>
  <c r="G57" i="11"/>
  <c r="F49" i="11"/>
  <c r="G49" i="11"/>
  <c r="F41" i="11"/>
  <c r="G41" i="11"/>
  <c r="F33" i="11"/>
  <c r="G33" i="11"/>
  <c r="F70" i="11"/>
  <c r="G70" i="11"/>
  <c r="G50" i="11"/>
  <c r="F50" i="11"/>
  <c r="F30" i="11"/>
  <c r="G30" i="11"/>
  <c r="J23" i="11" l="1"/>
  <c r="J38" i="11"/>
  <c r="I15" i="11"/>
  <c r="J36" i="11"/>
  <c r="J28" i="11"/>
  <c r="J54" i="11"/>
  <c r="J21" i="11"/>
  <c r="I5" i="11"/>
  <c r="J2" i="11"/>
  <c r="J52" i="11"/>
  <c r="J62" i="11"/>
  <c r="J15" i="11"/>
  <c r="J43" i="11"/>
  <c r="I28" i="11"/>
  <c r="J40" i="11"/>
  <c r="I23" i="11"/>
  <c r="I21" i="11"/>
  <c r="J5" i="11"/>
  <c r="J39" i="11"/>
  <c r="I2" i="11"/>
  <c r="I62" i="11"/>
  <c r="I52" i="11"/>
  <c r="H30" i="11"/>
  <c r="J30" i="11" s="1"/>
  <c r="H70" i="11"/>
  <c r="I70" i="11" s="1"/>
  <c r="H33" i="11"/>
  <c r="J33" i="11" s="1"/>
  <c r="H41" i="11"/>
  <c r="I41" i="11" s="1"/>
  <c r="H49" i="11"/>
  <c r="J49" i="11" s="1"/>
  <c r="H57" i="11"/>
  <c r="J57" i="11" s="1"/>
  <c r="H65" i="11"/>
  <c r="J65" i="11" s="1"/>
  <c r="H73" i="11"/>
  <c r="I73" i="11" s="1"/>
  <c r="H66" i="11"/>
  <c r="J66" i="11" s="1"/>
  <c r="H12" i="11"/>
  <c r="I12" i="11" s="1"/>
  <c r="H10" i="11"/>
  <c r="J10" i="11" s="1"/>
  <c r="H18" i="11"/>
  <c r="I18" i="11" s="1"/>
  <c r="H26" i="11"/>
  <c r="J26" i="11" s="1"/>
  <c r="H64" i="11"/>
  <c r="J64" i="11" s="1"/>
  <c r="H31" i="11"/>
  <c r="J31" i="11" s="1"/>
  <c r="H47" i="11"/>
  <c r="J47" i="11" s="1"/>
  <c r="H55" i="11"/>
  <c r="I55" i="11" s="1"/>
  <c r="H63" i="11"/>
  <c r="J63" i="11" s="1"/>
  <c r="H71" i="11"/>
  <c r="J71" i="11" s="1"/>
  <c r="H35" i="11"/>
  <c r="I35" i="11" s="1"/>
  <c r="H67" i="11"/>
  <c r="J67" i="11" s="1"/>
  <c r="H29" i="11"/>
  <c r="J29" i="11" s="1"/>
  <c r="H37" i="11"/>
  <c r="J37" i="11" s="1"/>
  <c r="H61" i="11"/>
  <c r="I61" i="11" s="1"/>
  <c r="H69" i="11"/>
  <c r="I69" i="11" s="1"/>
  <c r="H9" i="11"/>
  <c r="J9" i="11" s="1"/>
  <c r="H68" i="11"/>
  <c r="J68" i="11" s="1"/>
  <c r="H6" i="11"/>
  <c r="J6" i="11" s="1"/>
  <c r="H14" i="11"/>
  <c r="J14" i="11" s="1"/>
  <c r="H22" i="11"/>
  <c r="J22" i="11" s="1"/>
  <c r="H56" i="11"/>
  <c r="J56" i="11" s="1"/>
  <c r="H27" i="11"/>
  <c r="I27" i="11" s="1"/>
  <c r="H51" i="11"/>
  <c r="J51" i="11" s="1"/>
  <c r="H59" i="11"/>
  <c r="J59" i="11" s="1"/>
  <c r="H50" i="11"/>
  <c r="I50" i="11" s="1"/>
  <c r="H4" i="11"/>
  <c r="I4" i="11" s="1"/>
  <c r="H20" i="11"/>
  <c r="I20" i="11" s="1"/>
  <c r="H3" i="11"/>
  <c r="J3" i="11" s="1"/>
  <c r="H17" i="11"/>
  <c r="I17" i="11" s="1"/>
  <c r="H11" i="11"/>
  <c r="J11" i="11" s="1"/>
  <c r="H13" i="11"/>
  <c r="J13" i="11" s="1"/>
  <c r="H25" i="11"/>
  <c r="I25" i="11" s="1"/>
  <c r="H46" i="11"/>
  <c r="J46" i="11" s="1"/>
  <c r="H34" i="11"/>
  <c r="J34" i="11" s="1"/>
  <c r="H48" i="11"/>
  <c r="J48" i="11" s="1"/>
  <c r="I43" i="11"/>
  <c r="I67" i="11"/>
  <c r="H42" i="11"/>
  <c r="J42" i="11" s="1"/>
  <c r="H60" i="11"/>
  <c r="J60" i="11" s="1"/>
  <c r="H45" i="11"/>
  <c r="J45" i="11" s="1"/>
  <c r="H53" i="11"/>
  <c r="J53" i="11" s="1"/>
  <c r="H32" i="11"/>
  <c r="J32" i="11" s="1"/>
  <c r="H44" i="11"/>
  <c r="J44" i="11" s="1"/>
  <c r="H58" i="11"/>
  <c r="I58" i="11" s="1"/>
  <c r="H72" i="11"/>
  <c r="J72" i="11" s="1"/>
  <c r="H8" i="11"/>
  <c r="I8" i="11" s="1"/>
  <c r="H16" i="11"/>
  <c r="I16" i="11" s="1"/>
  <c r="H24" i="11"/>
  <c r="I24" i="11" s="1"/>
  <c r="H7" i="11"/>
  <c r="J7" i="11" s="1"/>
  <c r="H19" i="11"/>
  <c r="J19" i="11" s="1"/>
  <c r="J4" i="11" l="1"/>
  <c r="I56" i="11"/>
  <c r="I34" i="11"/>
  <c r="I46" i="11"/>
  <c r="I59" i="11"/>
  <c r="I51" i="11"/>
  <c r="I37" i="11"/>
  <c r="I29" i="11"/>
  <c r="I26" i="11"/>
  <c r="I10" i="11"/>
  <c r="J24" i="11"/>
  <c r="J8" i="11"/>
  <c r="I19" i="11"/>
  <c r="I22" i="11"/>
  <c r="I6" i="11"/>
  <c r="J17" i="11"/>
  <c r="J20" i="11"/>
  <c r="J58" i="11"/>
  <c r="J69" i="11"/>
  <c r="J18" i="11"/>
  <c r="J27" i="11"/>
  <c r="I9" i="11"/>
  <c r="J35" i="11"/>
  <c r="J25" i="11"/>
  <c r="I11" i="11"/>
  <c r="I3" i="11"/>
  <c r="I13" i="11"/>
  <c r="J16" i="11"/>
  <c r="I7" i="11"/>
  <c r="I14" i="11"/>
  <c r="J12" i="11"/>
  <c r="J61" i="11"/>
  <c r="J55" i="11"/>
  <c r="J50" i="11"/>
  <c r="J73" i="11"/>
  <c r="J41" i="11"/>
  <c r="J70" i="11"/>
  <c r="I72" i="11"/>
  <c r="I44" i="11"/>
  <c r="I32" i="11"/>
  <c r="I53" i="11"/>
  <c r="I60" i="11"/>
  <c r="I42" i="11"/>
  <c r="I71" i="11"/>
  <c r="I47" i="11"/>
  <c r="I65" i="11"/>
  <c r="I49" i="11"/>
  <c r="I63" i="11"/>
  <c r="I66" i="11"/>
  <c r="I57" i="11"/>
  <c r="I33" i="11"/>
  <c r="I30" i="11"/>
  <c r="I45" i="11"/>
  <c r="I48" i="11"/>
  <c r="I68" i="11"/>
  <c r="I31" i="11"/>
  <c r="I64" i="11"/>
</calcChain>
</file>

<file path=xl/sharedStrings.xml><?xml version="1.0" encoding="utf-8"?>
<sst xmlns="http://schemas.openxmlformats.org/spreadsheetml/2006/main" count="195" uniqueCount="126">
  <si>
    <t xml:space="preserve">Frekuensi Breakdown </t>
  </si>
  <si>
    <t>Selang Waktu Antar Kerusakan</t>
  </si>
  <si>
    <t xml:space="preserve">Komponen </t>
  </si>
  <si>
    <t xml:space="preserve">Lama Perbaikan </t>
  </si>
  <si>
    <t>Bahan Wawancara</t>
  </si>
  <si>
    <t xml:space="preserve">Output Produksi </t>
  </si>
  <si>
    <t xml:space="preserve">Laba </t>
  </si>
  <si>
    <t>Harga Komponen</t>
  </si>
  <si>
    <t>Magnetic Break</t>
  </si>
  <si>
    <t>I</t>
  </si>
  <si>
    <t>Xi=ti</t>
  </si>
  <si>
    <t>F(ti)</t>
  </si>
  <si>
    <t>Yi</t>
  </si>
  <si>
    <t>Xi.Yi</t>
  </si>
  <si>
    <t>Xi^2</t>
  </si>
  <si>
    <t>Yi^2</t>
  </si>
  <si>
    <t>Xi= ln*ti</t>
  </si>
  <si>
    <t xml:space="preserve">Total </t>
  </si>
  <si>
    <t>(Xi)=ti</t>
  </si>
  <si>
    <t>Yi=ln(1/1-F(ti))</t>
  </si>
  <si>
    <t>ti</t>
  </si>
  <si>
    <t>No</t>
  </si>
  <si>
    <t>mi</t>
  </si>
  <si>
    <t>N</t>
  </si>
  <si>
    <t>Tahun/(t)</t>
  </si>
  <si>
    <t>F't</t>
  </si>
  <si>
    <t>1-F't</t>
  </si>
  <si>
    <t>Ln(Ln(1/1-F't)) atau Y</t>
  </si>
  <si>
    <t>Ln(t) atau X</t>
  </si>
  <si>
    <t>X^2</t>
  </si>
  <si>
    <t xml:space="preserve">Y bar </t>
  </si>
  <si>
    <t xml:space="preserve">X bar </t>
  </si>
  <si>
    <t>B</t>
  </si>
  <si>
    <t>Xi2.Yi</t>
  </si>
  <si>
    <t>X^2 (2)</t>
  </si>
  <si>
    <t>Xbar 2</t>
  </si>
  <si>
    <t>Xi3.Yi</t>
  </si>
  <si>
    <t>X^2(3)</t>
  </si>
  <si>
    <t xml:space="preserve">Xbar 3 </t>
  </si>
  <si>
    <t xml:space="preserve">Distribusi </t>
  </si>
  <si>
    <t xml:space="preserve">Normal </t>
  </si>
  <si>
    <t>Lognormal</t>
  </si>
  <si>
    <t>Exponensial</t>
  </si>
  <si>
    <t>Weibull</t>
  </si>
  <si>
    <t>Nilai r</t>
  </si>
  <si>
    <t xml:space="preserve">MTTF </t>
  </si>
  <si>
    <t>MTTF</t>
  </si>
  <si>
    <t>μ</t>
  </si>
  <si>
    <t>tmed</t>
  </si>
  <si>
    <t>s</t>
  </si>
  <si>
    <t>s^2</t>
  </si>
  <si>
    <t xml:space="preserve">Harga </t>
  </si>
  <si>
    <t>Jumlah unit</t>
  </si>
  <si>
    <t>Total Biaya Komponen</t>
  </si>
  <si>
    <t xml:space="preserve">Biaya Kehilangan Produksi </t>
  </si>
  <si>
    <t>Konversi ke hari</t>
  </si>
  <si>
    <t>Total</t>
  </si>
  <si>
    <t>Production Loss</t>
  </si>
  <si>
    <t>Tp</t>
  </si>
  <si>
    <t>R(tp)</t>
  </si>
  <si>
    <t>Log normal</t>
  </si>
  <si>
    <t>Tmed</t>
  </si>
  <si>
    <t>Total Cf</t>
  </si>
  <si>
    <t>Cf</t>
  </si>
  <si>
    <t>Cp</t>
  </si>
  <si>
    <t>F(tp)</t>
  </si>
  <si>
    <t xml:space="preserve">Tf </t>
  </si>
  <si>
    <t>tp</t>
  </si>
  <si>
    <t>(tp+Tp)*R(tp)</t>
  </si>
  <si>
    <t>M(tp)</t>
  </si>
  <si>
    <t>C(tp)</t>
  </si>
  <si>
    <t>D(tp)</t>
  </si>
  <si>
    <t xml:space="preserve">Lama Penggantian Komponen / Tindakan Preventive </t>
  </si>
  <si>
    <t>Total Cp</t>
  </si>
  <si>
    <t>pcs/hari</t>
  </si>
  <si>
    <t>Target Produksi</t>
  </si>
  <si>
    <t>Keuntungan tiap sachet</t>
  </si>
  <si>
    <t>pcs</t>
  </si>
  <si>
    <t xml:space="preserve">KOMPONEN </t>
  </si>
  <si>
    <t xml:space="preserve">JUMLAH </t>
  </si>
  <si>
    <t>HARGA/UNIT (Rp)</t>
  </si>
  <si>
    <t>Frekuensi Breakdown</t>
  </si>
  <si>
    <t xml:space="preserve">Sensor </t>
  </si>
  <si>
    <t>Sensor</t>
  </si>
  <si>
    <t>Sensor/Normal Test</t>
  </si>
  <si>
    <t>Sensor/LogNormal Test</t>
  </si>
  <si>
    <t>Sensor/Exponensial Test</t>
  </si>
  <si>
    <t>Sensor/Weibull Test</t>
  </si>
  <si>
    <t>Index of fit Komponen Sensor</t>
  </si>
  <si>
    <t xml:space="preserve">Total Biaya </t>
  </si>
  <si>
    <t>Persentase Nilai tiap barang (%)</t>
  </si>
  <si>
    <t>Kumulatif</t>
  </si>
  <si>
    <t>Kategori</t>
  </si>
  <si>
    <t>A</t>
  </si>
  <si>
    <t>C</t>
  </si>
  <si>
    <t>Persentase nilai kumulatif barang (%)</t>
  </si>
  <si>
    <t xml:space="preserve">Roller Penggerak Brake </t>
  </si>
  <si>
    <t>Roller Penggerak Pisau Pemotong</t>
  </si>
  <si>
    <t>Roller Penggerak Seal Horizontal</t>
  </si>
  <si>
    <t>Roller Penggerak Seal Vertical</t>
  </si>
  <si>
    <t>Turning Gear</t>
  </si>
  <si>
    <t>Spring Break</t>
  </si>
  <si>
    <t>Ribbon Tape</t>
  </si>
  <si>
    <t>Currently</t>
  </si>
  <si>
    <t>Produksi loss</t>
  </si>
  <si>
    <t xml:space="preserve">Frekuensi kerusakan </t>
  </si>
  <si>
    <t xml:space="preserve">Ongkos Perawatan </t>
  </si>
  <si>
    <t>Perhitungan Cost Usulan</t>
  </si>
  <si>
    <t>hari</t>
  </si>
  <si>
    <t>Interval Penggantian Komponen</t>
  </si>
  <si>
    <t>Jumlah Penggantian</t>
  </si>
  <si>
    <t xml:space="preserve">Ongkos perawatan usulan </t>
  </si>
  <si>
    <t>Dilakukan Group Replacement karena lebih efisien karena sudah diketahui interval kerusakan sehingga tidak menunggu rusak dan tidak menjadi breakdown</t>
  </si>
  <si>
    <t>Komponen</t>
  </si>
  <si>
    <t xml:space="preserve">Selisih Penghematan </t>
  </si>
  <si>
    <t>% Hemat</t>
  </si>
  <si>
    <t xml:space="preserve">Kumulatif Total Biaya </t>
  </si>
  <si>
    <t>Spring Gear</t>
  </si>
  <si>
    <t>Cost of Failure</t>
  </si>
  <si>
    <t>24000pcs/hari</t>
  </si>
  <si>
    <t>1125/pcs</t>
  </si>
  <si>
    <t>Perhitungan Cost saat ini 2019</t>
  </si>
  <si>
    <t>Sensor (unit)</t>
  </si>
  <si>
    <t>b</t>
  </si>
  <si>
    <t>a</t>
  </si>
  <si>
    <t>Jumlah operasi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</si>
</sst>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0000"/>
    <numFmt numFmtId="165" formatCode="0.0000"/>
    <numFmt numFmtId="166" formatCode="0.0"/>
    <numFmt numFmtId="167" formatCode="0.0000000000000"/>
    <numFmt numFmtId="168" formatCode="0.000000000"/>
    <numFmt numFmtId="169" formatCode="_([$Rp-421]* #,##0.00_);_([$Rp-421]* \(#,##0.00\);_([$Rp-421]* &quot;-&quot;??_);_(@_)"/>
    <numFmt numFmtId="170" formatCode="_([$Rp-421]* #,##0_);_([$Rp-421]* \(#,##0\);_([$Rp-421]* &quot;-&quot;??_);_(@_)"/>
  </numFmts>
  <fonts count="5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</font>
    <font>
      <b/>
      <sz val="11"/>
      <color rgb="FFEC5B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65" fontId="0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/>
    <xf numFmtId="169" fontId="0" fillId="0" borderId="0" xfId="0" applyNumberFormat="1"/>
    <xf numFmtId="170" fontId="0" fillId="0" borderId="0" xfId="0" applyNumberFormat="1"/>
    <xf numFmtId="0" fontId="0" fillId="0" borderId="0" xfId="0" applyAlignment="1">
      <alignment horizontal="center" vertical="center" wrapText="1"/>
    </xf>
    <xf numFmtId="2" fontId="0" fillId="2" borderId="0" xfId="0" applyNumberFormat="1" applyFill="1"/>
    <xf numFmtId="1" fontId="0" fillId="0" borderId="0" xfId="0" applyNumberFormat="1"/>
    <xf numFmtId="2" fontId="0" fillId="3" borderId="0" xfId="0" applyNumberFormat="1" applyFill="1"/>
    <xf numFmtId="0" fontId="0" fillId="0" borderId="3" xfId="0" applyBorder="1"/>
    <xf numFmtId="0" fontId="0" fillId="0" borderId="3" xfId="0" applyBorder="1" applyAlignment="1">
      <alignment horizontal="center" vertical="center"/>
    </xf>
    <xf numFmtId="170" fontId="0" fillId="0" borderId="3" xfId="0" applyNumberFormat="1" applyBorder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4" fillId="0" borderId="0" xfId="0" applyFont="1"/>
    <xf numFmtId="1" fontId="0" fillId="0" borderId="3" xfId="0" applyNumberFormat="1" applyBorder="1"/>
    <xf numFmtId="166" fontId="2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4"/>
      </font>
    </dxf>
    <dxf>
      <font>
        <color theme="1"/>
      </font>
      <fill>
        <patternFill>
          <bgColor rgb="FFFF0000"/>
        </patternFill>
      </fill>
    </dxf>
    <dxf>
      <alignment horizontal="center" vertical="bottom" textRotation="0" wrapText="0" indent="0" justifyLastLine="0" shrinkToFit="0" readingOrder="0"/>
    </dxf>
    <dxf>
      <numFmt numFmtId="2" formatCode="0.0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</xdr:colOff>
      <xdr:row>27</xdr:row>
      <xdr:rowOff>0</xdr:rowOff>
    </xdr:from>
    <xdr:to>
      <xdr:col>8</xdr:col>
      <xdr:colOff>38100</xdr:colOff>
      <xdr:row>27</xdr:row>
      <xdr:rowOff>25400</xdr:rowOff>
    </xdr:to>
    <xdr:sp macro="" textlink="">
      <xdr:nvSpPr>
        <xdr:cNvPr id="5" name="TX332215" hidden="1">
          <a:extLst>
            <a:ext uri="{FF2B5EF4-FFF2-40B4-BE49-F238E27FC236}">
              <a16:creationId xmlns:a16="http://schemas.microsoft.com/office/drawing/2014/main" id="{87607ADC-F408-4EF9-8AB4-E65D4338CD93}"/>
            </a:ext>
          </a:extLst>
        </xdr:cNvPr>
        <xdr:cNvSpPr txBox="1"/>
      </xdr:nvSpPr>
      <xdr:spPr>
        <a:xfrm>
          <a:off x="11337925" y="5734050"/>
          <a:ext cx="25400" cy="2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id-ID" sz="1100"/>
            <a:t>RunProcPTO
Form94.txt
OptionButton_R,OptionButton,True,True,000000000008_General,True,Range,False,
OptionButton_S,OptionButton,False,True,000000000208_General,True,Sheet,False,
OptionButton_W,OptionButton,False,True,000000000308_General,True,Workbook,False,
RefEdit_R,RefEdit,'KLASIFIKASI KOMPONEN'!$H$25,True,000000000108_General,True,Range:,False,
RefEdit_X,RefEdit0,,True,000000000004_General,True,Frequencies:,False,
CheckBoxTrans,CheckBox,False,False,05,False,Trans,False,
CheckBox_W,CheckBox,False,True,000000000010_General,True,Weights,False,
RefEdit_W,RefEdit,,True,000000000011_General,True,Weights:,False,
CheckBoxVarLabels,CheckBox,True,True,000000000009_General,True,Sample labels,False,
RefEdit_Q,RefEdit,'KLASIFIKASI KOMPONEN'!$E$2:$E$11,True,000000000002_General,True,,False,
CheckBox_X,CheckBox,False,True,000000000003_General,True,Frequencies,False,
ListBoxQuali,ListBox,,True,200000000100_Outputs,True,,False,
CheckBoxDispVert2,CheckBox,False,True,200000000001_Outputs,True,Display vertically,False,
CheckBoxBar,CheckBox,True,True,300000000100_Charts,True,Bar charts,False,
CheckBoxPie,CheckBox,False,True,300000000200_Charts,True,Pie charts,False,
OptionButtonF,OptionButton,True,True,300000000002_Charts,True,Frequencies,False,
OptionButtonRelF,OptionButton,False,True,300000000102_Charts,True,Relative frequencies,False,
CheckBoxDesc,CheckBox,True,True,100000000000_Options,True,Descriptive statistics,False,
CheckBoxCharts,CheckBox,True,True,100000000100_Options,True,Charts,False,
CheckBox_G,CheckBox,False,True,000000000005_General,True,Subsamples,False,
RefEdit_G,RefEdit,,True,000000000006_General,True,Subsamples:,False,
CheckBoxComp,CheckBox,False,True,100000000200_Options,True,Compare to the total sample,False,
CheckBoxSuper,CheckBox,False,True,300000000300_Charts,True,Double pie charts,False,
CheckBoxDoughnuts,CheckBox,False,True,300000000400_Charts,True,Doughnuts,False,
CheckBoxStack,CheckBox,False,True,300000000500_Charts,True,Stacked bars,False,
CheckBoxStdW,CheckBox,False,True,000000000012_General,True,Standardize weights,False,
CheckBoxVarCat,CheckBox,True,True,000000000007_General,True,Variable-Category labels,False,
OptionButtonNone,OptionButton,True,True,100000000002_Options,True,None,False,
OptionButtonFreq,OptionButton,False,True,100000000102_Options,True,Frequency less than,False,
OptionButtonPerc,OptionButton,False,True,100000000302_Options,True,% less than,False,
OptionButtonSmall,OptionButton,False,True,100000000502_Options,True,Smallest frequencies,False,
OptionButtonCumul,OptionButton,False,True,100000000702_Options,True,estimate,False,
TextBoxFreq,TextBox,3,True,100000000202_Options,True,Frequency less than:,False,
TextBoxPerc,TextBox,5,True,100000000402_Options,True,% less than:,False,
TextBoxSmall,TextBox,3,True,100000000602_Options,True,Smallest frequencies:,False,
TextBoxCumul,TextBox,80,True,100000000802_Options,True,estimate:,False,
CheckBoxAsc,CheckBox,True,True,100000000300_Options,True,Sort up,False,
</a:t>
          </a:r>
        </a:p>
      </xdr:txBody>
    </xdr:sp>
    <xdr:clientData/>
  </xdr:twoCellAnchor>
  <xdr:twoCellAnchor>
    <xdr:from>
      <xdr:col>8</xdr:col>
      <xdr:colOff>12700</xdr:colOff>
      <xdr:row>27</xdr:row>
      <xdr:rowOff>0</xdr:rowOff>
    </xdr:from>
    <xdr:to>
      <xdr:col>8</xdr:col>
      <xdr:colOff>38100</xdr:colOff>
      <xdr:row>27</xdr:row>
      <xdr:rowOff>25400</xdr:rowOff>
    </xdr:to>
    <xdr:sp macro="" textlink="">
      <xdr:nvSpPr>
        <xdr:cNvPr id="6" name="L1332215" hidden="1">
          <a:extLst>
            <a:ext uri="{FF2B5EF4-FFF2-40B4-BE49-F238E27FC236}">
              <a16:creationId xmlns:a16="http://schemas.microsoft.com/office/drawing/2014/main" id="{1EDCBA75-195B-424E-ACC7-87EC913C82EA}"/>
            </a:ext>
          </a:extLst>
        </xdr:cNvPr>
        <xdr:cNvSpPr txBox="1"/>
      </xdr:nvSpPr>
      <xdr:spPr>
        <a:xfrm>
          <a:off x="11337925" y="5734050"/>
          <a:ext cx="25400" cy="2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id-ID" sz="1100"/>
            <a:t>1
ListBox
94
ListBoxQuali
1
9
Nbr. of observations,-1
Nbr. of missing values,-1
Sum of weights,-1
Nbr. of categories,-1
Mode,-1
Mode frequency,-1
Frequency per category,-1
Rel. frequency per category (%),-1
cumulated relative frequency (%),-1
</a:t>
          </a:r>
        </a:p>
      </xdr:txBody>
    </xdr:sp>
    <xdr:clientData/>
  </xdr:twoCellAnchor>
  <xdr:twoCellAnchor editAs="absolute">
    <xdr:from>
      <xdr:col>7</xdr:col>
      <xdr:colOff>527557</xdr:colOff>
      <xdr:row>27</xdr:row>
      <xdr:rowOff>43434</xdr:rowOff>
    </xdr:from>
    <xdr:to>
      <xdr:col>7</xdr:col>
      <xdr:colOff>870457</xdr:colOff>
      <xdr:row>27</xdr:row>
      <xdr:rowOff>386334</xdr:rowOff>
    </xdr:to>
    <xdr:pic macro="AddRemovGrid">
      <xdr:nvPicPr>
        <xdr:cNvPr id="11" name="AD332215" hidden="1">
          <a:extLst>
            <a:ext uri="{FF2B5EF4-FFF2-40B4-BE49-F238E27FC236}">
              <a16:creationId xmlns:a16="http://schemas.microsoft.com/office/drawing/2014/main" id="{C4C59FF4-79F0-4DB0-824D-32191820994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9307" y="5777484"/>
          <a:ext cx="342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 editAs="oneCell">
    <xdr:from>
      <xdr:col>2</xdr:col>
      <xdr:colOff>464343</xdr:colOff>
      <xdr:row>14</xdr:row>
      <xdr:rowOff>83343</xdr:rowOff>
    </xdr:from>
    <xdr:to>
      <xdr:col>6</xdr:col>
      <xdr:colOff>373856</xdr:colOff>
      <xdr:row>32</xdr:row>
      <xdr:rowOff>73818</xdr:rowOff>
    </xdr:to>
    <xdr:pic>
      <xdr:nvPicPr>
        <xdr:cNvPr id="15" name="Gambar 14">
          <a:extLst>
            <a:ext uri="{FF2B5EF4-FFF2-40B4-BE49-F238E27FC236}">
              <a16:creationId xmlns:a16="http://schemas.microsoft.com/office/drawing/2014/main" id="{A1E3614E-AD85-4928-B715-1068031D1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3312" y="3345656"/>
          <a:ext cx="5481638" cy="365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138112</xdr:colOff>
      <xdr:row>23</xdr:row>
      <xdr:rowOff>93662</xdr:rowOff>
    </xdr:from>
    <xdr:ext cx="2737544" cy="3983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Kotak Teks 1">
              <a:extLst>
                <a:ext uri="{FF2B5EF4-FFF2-40B4-BE49-F238E27FC236}">
                  <a16:creationId xmlns:a16="http://schemas.microsoft.com/office/drawing/2014/main" id="{F204FCB1-C442-41A2-91FE-ADF2780C9475}"/>
                </a:ext>
              </a:extLst>
            </xdr:cNvPr>
            <xdr:cNvSpPr txBox="1"/>
          </xdr:nvSpPr>
          <xdr:spPr>
            <a:xfrm>
              <a:off x="138112" y="4475162"/>
              <a:ext cx="2737544" cy="3983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𝑛</m:t>
                        </m:r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𝑥𝑖𝑦𝑖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−(</m:t>
                            </m:r>
                            <m:nary>
                              <m:naryPr>
                                <m:chr m:val="∑"/>
                                <m:subHide m:val="on"/>
                                <m:supHide m:val="on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𝑥𝑖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)(</m:t>
                                </m:r>
                                <m:nary>
                                  <m:naryPr>
                                    <m:chr m:val="∑"/>
                                    <m:subHide m:val="on"/>
                                    <m:supHide m:val="on"/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naryPr>
                                  <m:sub/>
                                  <m:sup/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𝑦𝑖</m:t>
                                    </m:r>
                                  </m:e>
                                </m:nary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)</m:t>
                                </m:r>
                              </m:e>
                            </m:nary>
                          </m:e>
                        </m:nary>
                      </m:num>
                      <m:den>
                        <m:rad>
                          <m:radPr>
                            <m:degHide m:val="on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[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  <m:nary>
                              <m:naryPr>
                                <m:chr m:val="∑"/>
                                <m:subHide m:val="on"/>
                                <m:supHide m:val="on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sSup>
                                  <m:sSupPr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𝑥𝑖</m:t>
                                    </m:r>
                                  </m:e>
                                  <m:sup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2</m:t>
                                    </m:r>
                                  </m:sup>
                                </m:sSup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−(</m:t>
                                </m:r>
                              </m:e>
                            </m:nary>
                            <m:nary>
                              <m:naryPr>
                                <m:chr m:val="∑"/>
                                <m:subHide m:val="on"/>
                                <m:supHide m:val="on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sSup>
                                  <m:sSupPr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𝑥𝑖</m:t>
                                    </m:r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)</m:t>
                                    </m:r>
                                  </m:e>
                                  <m:sup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2</m:t>
                                    </m:r>
                                  </m:sup>
                                </m:sSup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]</m:t>
                                </m:r>
                              </m:e>
                            </m:nary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[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  <m:nary>
                              <m:naryPr>
                                <m:chr m:val="∑"/>
                                <m:subHide m:val="on"/>
                                <m:supHide m:val="on"/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sSup>
                                  <m:sSupPr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𝑦𝑖</m:t>
                                    </m:r>
                                  </m:e>
                                  <m:sup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p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−(</m:t>
                                </m:r>
                              </m:e>
                            </m:nary>
                            <m:nary>
                              <m:naryPr>
                                <m:chr m:val="∑"/>
                                <m:subHide m:val="on"/>
                                <m:supHide m:val="on"/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sSup>
                                  <m:sSupPr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𝑦𝑖</m:t>
                                    </m:r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)</m:t>
                                    </m:r>
                                  </m:e>
                                  <m:sup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p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]</m:t>
                                </m:r>
                              </m:e>
                            </m:nary>
                          </m:e>
                        </m:rad>
                      </m:den>
                    </m:f>
                  </m:oMath>
                </m:oMathPara>
              </a14:m>
              <a:endParaRPr lang="id-ID" sz="1100"/>
            </a:p>
          </xdr:txBody>
        </xdr:sp>
      </mc:Choice>
      <mc:Fallback xmlns="">
        <xdr:sp macro="" textlink="">
          <xdr:nvSpPr>
            <xdr:cNvPr id="2" name="Kotak Teks 1">
              <a:extLst>
                <a:ext uri="{FF2B5EF4-FFF2-40B4-BE49-F238E27FC236}">
                  <a16:creationId xmlns:a16="http://schemas.microsoft.com/office/drawing/2014/main" id="{F204FCB1-C442-41A2-91FE-ADF2780C9475}"/>
                </a:ext>
              </a:extLst>
            </xdr:cNvPr>
            <xdr:cNvSpPr txBox="1"/>
          </xdr:nvSpPr>
          <xdr:spPr>
            <a:xfrm>
              <a:off x="138112" y="4475162"/>
              <a:ext cx="2737544" cy="3983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𝑟=  (𝑛∑▒〖𝑥𝑖𝑦𝑖−(∑▒〖𝑥𝑖)(∑▒𝑦𝑖)〗〗)/√([𝑛∑▒〖〖𝑥𝑖〗^2−(〗 ∑▒〖〖𝑥𝑖)〗^2]〗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[𝑛∑▒〖〖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𝑖〗^2−(〗 ∑▒〖〖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〗^2]〗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id-ID" sz="1100"/>
            </a:p>
          </xdr:txBody>
        </xdr:sp>
      </mc:Fallback>
    </mc:AlternateContent>
    <xdr:clientData/>
  </xdr:oneCellAnchor>
  <xdr:oneCellAnchor>
    <xdr:from>
      <xdr:col>8</xdr:col>
      <xdr:colOff>138112</xdr:colOff>
      <xdr:row>23</xdr:row>
      <xdr:rowOff>93662</xdr:rowOff>
    </xdr:from>
    <xdr:ext cx="2737544" cy="3983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Kotak Teks 2">
              <a:extLst>
                <a:ext uri="{FF2B5EF4-FFF2-40B4-BE49-F238E27FC236}">
                  <a16:creationId xmlns:a16="http://schemas.microsoft.com/office/drawing/2014/main" id="{A697868F-3EC7-4809-8C01-159200F85905}"/>
                </a:ext>
              </a:extLst>
            </xdr:cNvPr>
            <xdr:cNvSpPr txBox="1"/>
          </xdr:nvSpPr>
          <xdr:spPr>
            <a:xfrm>
              <a:off x="138112" y="4475162"/>
              <a:ext cx="2737544" cy="3983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𝑛</m:t>
                        </m:r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𝑥𝑖𝑦𝑖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−(</m:t>
                            </m:r>
                            <m:nary>
                              <m:naryPr>
                                <m:chr m:val="∑"/>
                                <m:subHide m:val="on"/>
                                <m:supHide m:val="on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𝑥𝑖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)(</m:t>
                                </m:r>
                                <m:nary>
                                  <m:naryPr>
                                    <m:chr m:val="∑"/>
                                    <m:subHide m:val="on"/>
                                    <m:supHide m:val="on"/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naryPr>
                                  <m:sub/>
                                  <m:sup/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𝑦𝑖</m:t>
                                    </m:r>
                                  </m:e>
                                </m:nary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)</m:t>
                                </m:r>
                              </m:e>
                            </m:nary>
                          </m:e>
                        </m:nary>
                      </m:num>
                      <m:den>
                        <m:rad>
                          <m:radPr>
                            <m:degHide m:val="on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[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  <m:nary>
                              <m:naryPr>
                                <m:chr m:val="∑"/>
                                <m:subHide m:val="on"/>
                                <m:supHide m:val="on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sSup>
                                  <m:sSupPr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𝑥𝑖</m:t>
                                    </m:r>
                                  </m:e>
                                  <m:sup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2</m:t>
                                    </m:r>
                                  </m:sup>
                                </m:sSup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−(</m:t>
                                </m:r>
                              </m:e>
                            </m:nary>
                            <m:nary>
                              <m:naryPr>
                                <m:chr m:val="∑"/>
                                <m:subHide m:val="on"/>
                                <m:supHide m:val="on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sSup>
                                  <m:sSupPr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𝑥𝑖</m:t>
                                    </m:r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)</m:t>
                                    </m:r>
                                  </m:e>
                                  <m:sup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2</m:t>
                                    </m:r>
                                  </m:sup>
                                </m:sSup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]</m:t>
                                </m:r>
                              </m:e>
                            </m:nary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[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  <m:nary>
                              <m:naryPr>
                                <m:chr m:val="∑"/>
                                <m:subHide m:val="on"/>
                                <m:supHide m:val="on"/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sSup>
                                  <m:sSupPr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𝑦𝑖</m:t>
                                    </m:r>
                                  </m:e>
                                  <m:sup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p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−(</m:t>
                                </m:r>
                              </m:e>
                            </m:nary>
                            <m:nary>
                              <m:naryPr>
                                <m:chr m:val="∑"/>
                                <m:subHide m:val="on"/>
                                <m:supHide m:val="on"/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sSup>
                                  <m:sSupPr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𝑦𝑖</m:t>
                                    </m:r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)</m:t>
                                    </m:r>
                                  </m:e>
                                  <m:sup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p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]</m:t>
                                </m:r>
                              </m:e>
                            </m:nary>
                          </m:e>
                        </m:rad>
                      </m:den>
                    </m:f>
                  </m:oMath>
                </m:oMathPara>
              </a14:m>
              <a:endParaRPr lang="id-ID" sz="1100"/>
            </a:p>
          </xdr:txBody>
        </xdr:sp>
      </mc:Choice>
      <mc:Fallback xmlns="">
        <xdr:sp macro="" textlink="">
          <xdr:nvSpPr>
            <xdr:cNvPr id="3" name="Kotak Teks 2">
              <a:extLst>
                <a:ext uri="{FF2B5EF4-FFF2-40B4-BE49-F238E27FC236}">
                  <a16:creationId xmlns:a16="http://schemas.microsoft.com/office/drawing/2014/main" id="{A697868F-3EC7-4809-8C01-159200F85905}"/>
                </a:ext>
              </a:extLst>
            </xdr:cNvPr>
            <xdr:cNvSpPr txBox="1"/>
          </xdr:nvSpPr>
          <xdr:spPr>
            <a:xfrm>
              <a:off x="138112" y="4475162"/>
              <a:ext cx="2737544" cy="3983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𝑟=  (𝑛∑▒〖𝑥𝑖𝑦𝑖−(∑▒〖𝑥𝑖)(∑▒𝑦𝑖)〗〗)/√([𝑛∑▒〖〖𝑥𝑖〗^2−(〗 ∑▒〖〖𝑥𝑖)〗^2]〗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[𝑛∑▒〖〖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𝑖〗^2−(〗 ∑▒〖〖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〗^2]〗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id-ID" sz="1100"/>
            </a:p>
          </xdr:txBody>
        </xdr:sp>
      </mc:Fallback>
    </mc:AlternateContent>
    <xdr:clientData/>
  </xdr:oneCellAnchor>
  <xdr:oneCellAnchor>
    <xdr:from>
      <xdr:col>17</xdr:col>
      <xdr:colOff>138112</xdr:colOff>
      <xdr:row>23</xdr:row>
      <xdr:rowOff>93662</xdr:rowOff>
    </xdr:from>
    <xdr:ext cx="2737544" cy="3983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Kotak Teks 3">
              <a:extLst>
                <a:ext uri="{FF2B5EF4-FFF2-40B4-BE49-F238E27FC236}">
                  <a16:creationId xmlns:a16="http://schemas.microsoft.com/office/drawing/2014/main" id="{978D6A56-59AD-46A8-866F-F0410E37ED2D}"/>
                </a:ext>
              </a:extLst>
            </xdr:cNvPr>
            <xdr:cNvSpPr txBox="1"/>
          </xdr:nvSpPr>
          <xdr:spPr>
            <a:xfrm>
              <a:off x="138112" y="4475162"/>
              <a:ext cx="2737544" cy="3983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𝑛</m:t>
                        </m:r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𝑥𝑖𝑦𝑖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−(</m:t>
                            </m:r>
                            <m:nary>
                              <m:naryPr>
                                <m:chr m:val="∑"/>
                                <m:subHide m:val="on"/>
                                <m:supHide m:val="on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𝑥𝑖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)(</m:t>
                                </m:r>
                                <m:nary>
                                  <m:naryPr>
                                    <m:chr m:val="∑"/>
                                    <m:subHide m:val="on"/>
                                    <m:supHide m:val="on"/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naryPr>
                                  <m:sub/>
                                  <m:sup/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𝑦𝑖</m:t>
                                    </m:r>
                                  </m:e>
                                </m:nary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)</m:t>
                                </m:r>
                              </m:e>
                            </m:nary>
                          </m:e>
                        </m:nary>
                      </m:num>
                      <m:den>
                        <m:rad>
                          <m:radPr>
                            <m:degHide m:val="on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[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  <m:nary>
                              <m:naryPr>
                                <m:chr m:val="∑"/>
                                <m:subHide m:val="on"/>
                                <m:supHide m:val="on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sSup>
                                  <m:sSupPr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𝑥𝑖</m:t>
                                    </m:r>
                                  </m:e>
                                  <m:sup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2</m:t>
                                    </m:r>
                                  </m:sup>
                                </m:sSup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−(</m:t>
                                </m:r>
                              </m:e>
                            </m:nary>
                            <m:nary>
                              <m:naryPr>
                                <m:chr m:val="∑"/>
                                <m:subHide m:val="on"/>
                                <m:supHide m:val="on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sSup>
                                  <m:sSupPr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𝑥𝑖</m:t>
                                    </m:r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)</m:t>
                                    </m:r>
                                  </m:e>
                                  <m:sup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2</m:t>
                                    </m:r>
                                  </m:sup>
                                </m:sSup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]</m:t>
                                </m:r>
                              </m:e>
                            </m:nary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[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  <m:nary>
                              <m:naryPr>
                                <m:chr m:val="∑"/>
                                <m:subHide m:val="on"/>
                                <m:supHide m:val="on"/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sSup>
                                  <m:sSupPr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𝑦𝑖</m:t>
                                    </m:r>
                                  </m:e>
                                  <m:sup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p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−(</m:t>
                                </m:r>
                              </m:e>
                            </m:nary>
                            <m:nary>
                              <m:naryPr>
                                <m:chr m:val="∑"/>
                                <m:subHide m:val="on"/>
                                <m:supHide m:val="on"/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sSup>
                                  <m:sSupPr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𝑦𝑖</m:t>
                                    </m:r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)</m:t>
                                    </m:r>
                                  </m:e>
                                  <m:sup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p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]</m:t>
                                </m:r>
                              </m:e>
                            </m:nary>
                          </m:e>
                        </m:rad>
                      </m:den>
                    </m:f>
                  </m:oMath>
                </m:oMathPara>
              </a14:m>
              <a:endParaRPr lang="id-ID" sz="1100"/>
            </a:p>
          </xdr:txBody>
        </xdr:sp>
      </mc:Choice>
      <mc:Fallback xmlns="">
        <xdr:sp macro="" textlink="">
          <xdr:nvSpPr>
            <xdr:cNvPr id="4" name="Kotak Teks 3">
              <a:extLst>
                <a:ext uri="{FF2B5EF4-FFF2-40B4-BE49-F238E27FC236}">
                  <a16:creationId xmlns:a16="http://schemas.microsoft.com/office/drawing/2014/main" id="{978D6A56-59AD-46A8-866F-F0410E37ED2D}"/>
                </a:ext>
              </a:extLst>
            </xdr:cNvPr>
            <xdr:cNvSpPr txBox="1"/>
          </xdr:nvSpPr>
          <xdr:spPr>
            <a:xfrm>
              <a:off x="138112" y="4475162"/>
              <a:ext cx="2737544" cy="3983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𝑟=  (𝑛∑▒〖𝑥𝑖𝑦𝑖−(∑▒〖𝑥𝑖)(∑▒𝑦𝑖)〗〗)/√([𝑛∑▒〖〖𝑥𝑖〗^2−(〗 ∑▒〖〖𝑥𝑖)〗^2]〗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[𝑛∑▒〖〖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𝑖〗^2−(〗 ∑▒〖〖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〗^2]〗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id-ID" sz="1100"/>
            </a:p>
          </xdr:txBody>
        </xdr:sp>
      </mc:Fallback>
    </mc:AlternateContent>
    <xdr:clientData/>
  </xdr:oneCellAnchor>
  <xdr:oneCellAnchor>
    <xdr:from>
      <xdr:col>25</xdr:col>
      <xdr:colOff>138112</xdr:colOff>
      <xdr:row>23</xdr:row>
      <xdr:rowOff>93662</xdr:rowOff>
    </xdr:from>
    <xdr:ext cx="2737544" cy="3983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Kotak Teks 4">
              <a:extLst>
                <a:ext uri="{FF2B5EF4-FFF2-40B4-BE49-F238E27FC236}">
                  <a16:creationId xmlns:a16="http://schemas.microsoft.com/office/drawing/2014/main" id="{56A368C8-2052-451E-AD64-2C62EFFD6B95}"/>
                </a:ext>
              </a:extLst>
            </xdr:cNvPr>
            <xdr:cNvSpPr txBox="1"/>
          </xdr:nvSpPr>
          <xdr:spPr>
            <a:xfrm>
              <a:off x="5591175" y="4475162"/>
              <a:ext cx="2737544" cy="3983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𝑛</m:t>
                        </m:r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𝑥𝑖𝑦𝑖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−(</m:t>
                            </m:r>
                            <m:nary>
                              <m:naryPr>
                                <m:chr m:val="∑"/>
                                <m:subHide m:val="on"/>
                                <m:supHide m:val="on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𝑥𝑖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)(</m:t>
                                </m:r>
                                <m:nary>
                                  <m:naryPr>
                                    <m:chr m:val="∑"/>
                                    <m:subHide m:val="on"/>
                                    <m:supHide m:val="on"/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naryPr>
                                  <m:sub/>
                                  <m:sup/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𝑦𝑖</m:t>
                                    </m:r>
                                  </m:e>
                                </m:nary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)</m:t>
                                </m:r>
                              </m:e>
                            </m:nary>
                          </m:e>
                        </m:nary>
                      </m:num>
                      <m:den>
                        <m:rad>
                          <m:radPr>
                            <m:degHide m:val="on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[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  <m:nary>
                              <m:naryPr>
                                <m:chr m:val="∑"/>
                                <m:subHide m:val="on"/>
                                <m:supHide m:val="on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sSup>
                                  <m:sSupPr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𝑥𝑖</m:t>
                                    </m:r>
                                  </m:e>
                                  <m:sup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2</m:t>
                                    </m:r>
                                  </m:sup>
                                </m:sSup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−(</m:t>
                                </m:r>
                              </m:e>
                            </m:nary>
                            <m:nary>
                              <m:naryPr>
                                <m:chr m:val="∑"/>
                                <m:subHide m:val="on"/>
                                <m:supHide m:val="on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sSup>
                                  <m:sSupPr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𝑥𝑖</m:t>
                                    </m:r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)</m:t>
                                    </m:r>
                                  </m:e>
                                  <m:sup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2</m:t>
                                    </m:r>
                                  </m:sup>
                                </m:sSup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]</m:t>
                                </m:r>
                              </m:e>
                            </m:nary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[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  <m:nary>
                              <m:naryPr>
                                <m:chr m:val="∑"/>
                                <m:subHide m:val="on"/>
                                <m:supHide m:val="on"/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sSup>
                                  <m:sSupPr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𝑦𝑖</m:t>
                                    </m:r>
                                  </m:e>
                                  <m:sup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p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−(</m:t>
                                </m:r>
                              </m:e>
                            </m:nary>
                            <m:nary>
                              <m:naryPr>
                                <m:chr m:val="∑"/>
                                <m:subHide m:val="on"/>
                                <m:supHide m:val="on"/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sSup>
                                  <m:sSupPr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𝑦𝑖</m:t>
                                    </m:r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)</m:t>
                                    </m:r>
                                  </m:e>
                                  <m:sup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p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]</m:t>
                                </m:r>
                              </m:e>
                            </m:nary>
                          </m:e>
                        </m:rad>
                      </m:den>
                    </m:f>
                  </m:oMath>
                </m:oMathPara>
              </a14:m>
              <a:endParaRPr lang="id-ID" sz="1100"/>
            </a:p>
          </xdr:txBody>
        </xdr:sp>
      </mc:Choice>
      <mc:Fallback xmlns="">
        <xdr:sp macro="" textlink="">
          <xdr:nvSpPr>
            <xdr:cNvPr id="5" name="Kotak Teks 4">
              <a:extLst>
                <a:ext uri="{FF2B5EF4-FFF2-40B4-BE49-F238E27FC236}">
                  <a16:creationId xmlns:a16="http://schemas.microsoft.com/office/drawing/2014/main" id="{56A368C8-2052-451E-AD64-2C62EFFD6B95}"/>
                </a:ext>
              </a:extLst>
            </xdr:cNvPr>
            <xdr:cNvSpPr txBox="1"/>
          </xdr:nvSpPr>
          <xdr:spPr>
            <a:xfrm>
              <a:off x="5591175" y="4475162"/>
              <a:ext cx="2737544" cy="3983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𝑟=  (𝑛∑▒〖𝑥𝑖𝑦𝑖−(∑▒〖𝑥𝑖)(∑▒𝑦𝑖)〗〗)/√([𝑛∑▒〖〖𝑥𝑖〗^2−(〗 ∑▒〖〖𝑥𝑖)〗^2]〗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[𝑛∑▒〖〖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𝑖〗^2−(〗 ∑▒〖〖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〗^2]〗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id-ID" sz="1100"/>
            </a:p>
          </xdr:txBody>
        </xdr:sp>
      </mc:Fallback>
    </mc:AlternateContent>
    <xdr:clientData/>
  </xdr:oneCellAnchor>
</xdr:wsDr>
</file>

<file path=xl/tables/table1.xml><?xml version="1.0" encoding="utf-8"?>
<table xmlns="http://schemas.openxmlformats.org/spreadsheetml/2006/main" id="5" name="Tabel5" displayName="Tabel5" ref="A1:J12" totalsRowShown="0" headerRowDxfId="13">
  <autoFilter ref="A1:J12"/>
  <tableColumns count="10">
    <tableColumn id="1" name="KOMPONEN "/>
    <tableColumn id="2" name="JUMLAH "/>
    <tableColumn id="3" name="HARGA/UNIT (Rp)"/>
    <tableColumn id="4" name="Frekuensi Breakdown"/>
    <tableColumn id="5" name="Total Biaya "/>
    <tableColumn id="6" name="Kumulatif Total Biaya "/>
    <tableColumn id="7" name="Persentase Nilai tiap barang (%)"/>
    <tableColumn id="8" name="Kumulatif"/>
    <tableColumn id="9" name="Persentase nilai kumulatif barang (%)" dataDxfId="12"/>
    <tableColumn id="10" name="Kategori" dataDxfId="1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="60" zoomScaleNormal="60" workbookViewId="0">
      <selection activeCell="A17" sqref="A17"/>
    </sheetView>
  </sheetViews>
  <sheetFormatPr defaultRowHeight="15" x14ac:dyDescent="0.25"/>
  <cols>
    <col min="1" max="1" width="35.5703125" customWidth="1"/>
    <col min="2" max="2" width="12.140625" customWidth="1"/>
    <col min="3" max="3" width="21.140625" customWidth="1"/>
    <col min="4" max="4" width="23.5703125" customWidth="1"/>
    <col min="5" max="5" width="14.7109375" customWidth="1"/>
    <col min="6" max="6" width="24.28515625" customWidth="1"/>
    <col min="7" max="7" width="21.42578125" customWidth="1"/>
    <col min="8" max="8" width="17" customWidth="1"/>
    <col min="9" max="9" width="34.7109375" customWidth="1"/>
    <col min="10" max="10" width="11.85546875" customWidth="1"/>
    <col min="13" max="13" width="23.85546875" customWidth="1"/>
    <col min="14" max="14" width="36.7109375" bestFit="1" customWidth="1"/>
    <col min="15" max="15" width="9.28515625" bestFit="1" customWidth="1"/>
  </cols>
  <sheetData>
    <row r="1" spans="1:15" ht="61.5" customHeight="1" x14ac:dyDescent="0.25">
      <c r="A1" s="4" t="s">
        <v>78</v>
      </c>
      <c r="B1" s="4" t="s">
        <v>79</v>
      </c>
      <c r="C1" s="24" t="s">
        <v>80</v>
      </c>
      <c r="D1" s="24" t="s">
        <v>81</v>
      </c>
      <c r="E1" s="4" t="s">
        <v>89</v>
      </c>
      <c r="F1" s="24" t="s">
        <v>116</v>
      </c>
      <c r="G1" s="24" t="s">
        <v>90</v>
      </c>
      <c r="H1" s="24" t="s">
        <v>91</v>
      </c>
      <c r="I1" s="24" t="s">
        <v>95</v>
      </c>
      <c r="J1" s="24" t="s">
        <v>92</v>
      </c>
      <c r="M1" s="4"/>
      <c r="N1" s="4"/>
      <c r="O1" s="4"/>
    </row>
    <row r="2" spans="1:15" x14ac:dyDescent="0.25">
      <c r="A2" t="s">
        <v>82</v>
      </c>
      <c r="B2">
        <v>12</v>
      </c>
      <c r="C2">
        <v>600000</v>
      </c>
      <c r="D2">
        <v>19</v>
      </c>
      <c r="E2">
        <f>B2*C2*D2</f>
        <v>136800000</v>
      </c>
      <c r="F2">
        <f>E2</f>
        <v>136800000</v>
      </c>
      <c r="G2">
        <f t="shared" ref="G2:G11" si="0">E2/$E$12*100</f>
        <v>61.544552317368343</v>
      </c>
      <c r="H2">
        <f>Tabel5[[#This Row],[Persentase Nilai tiap barang (%)]]</f>
        <v>61.544552317368343</v>
      </c>
      <c r="I2" s="27">
        <f>G2</f>
        <v>61.544552317368343</v>
      </c>
      <c r="J2" s="9" t="s">
        <v>93</v>
      </c>
      <c r="M2" s="4"/>
      <c r="N2" s="4"/>
      <c r="O2" s="4"/>
    </row>
    <row r="3" spans="1:15" x14ac:dyDescent="0.25">
      <c r="A3" t="s">
        <v>8</v>
      </c>
      <c r="B3">
        <v>2</v>
      </c>
      <c r="C3">
        <v>1300000</v>
      </c>
      <c r="D3">
        <v>16</v>
      </c>
      <c r="E3">
        <f t="shared" ref="E3:E11" si="1">B3*C3*D3</f>
        <v>41600000</v>
      </c>
      <c r="F3">
        <f>$F$2+E3</f>
        <v>178400000</v>
      </c>
      <c r="G3">
        <f t="shared" si="0"/>
        <v>18.715302459082768</v>
      </c>
      <c r="H3">
        <f>H2+Tabel5[[#This Row],[Persentase Nilai tiap barang (%)]]</f>
        <v>80.259854776451107</v>
      </c>
      <c r="I3" s="25">
        <f>I2+G3</f>
        <v>80.259854776451107</v>
      </c>
      <c r="J3" s="9" t="s">
        <v>32</v>
      </c>
      <c r="M3" s="4"/>
      <c r="N3" s="4"/>
      <c r="O3" s="4"/>
    </row>
    <row r="4" spans="1:15" x14ac:dyDescent="0.25">
      <c r="A4" t="s">
        <v>97</v>
      </c>
      <c r="B4">
        <v>2</v>
      </c>
      <c r="C4">
        <v>285000</v>
      </c>
      <c r="D4">
        <v>19</v>
      </c>
      <c r="E4">
        <f t="shared" si="1"/>
        <v>10830000</v>
      </c>
      <c r="F4">
        <f>F6+E4</f>
        <v>199230000</v>
      </c>
      <c r="G4">
        <f t="shared" si="0"/>
        <v>4.8722770584583266</v>
      </c>
      <c r="H4">
        <f>H3+Tabel5[[#This Row],[Persentase Nilai tiap barang (%)]]</f>
        <v>85.13213183490943</v>
      </c>
      <c r="I4" s="27">
        <f>Tabel5[[#This Row],[Persentase Nilai tiap barang (%)]]</f>
        <v>4.8722770584583266</v>
      </c>
      <c r="J4" s="9" t="s">
        <v>94</v>
      </c>
      <c r="M4" s="4"/>
      <c r="N4" s="4"/>
      <c r="O4" s="4"/>
    </row>
    <row r="5" spans="1:15" x14ac:dyDescent="0.25">
      <c r="A5" t="s">
        <v>98</v>
      </c>
      <c r="B5">
        <v>2</v>
      </c>
      <c r="C5">
        <v>235000</v>
      </c>
      <c r="D5">
        <v>23</v>
      </c>
      <c r="E5">
        <f t="shared" si="1"/>
        <v>10810000</v>
      </c>
      <c r="F5">
        <f>F4+E5</f>
        <v>210040000</v>
      </c>
      <c r="G5">
        <f t="shared" si="0"/>
        <v>4.8632793168914601</v>
      </c>
      <c r="H5">
        <f>H4+Tabel5[[#This Row],[Persentase Nilai tiap barang (%)]]</f>
        <v>89.995411151800894</v>
      </c>
      <c r="I5" s="27">
        <f>I4+Tabel5[[#This Row],[Persentase Nilai tiap barang (%)]]</f>
        <v>9.7355563753497876</v>
      </c>
      <c r="J5" s="9" t="s">
        <v>94</v>
      </c>
      <c r="M5" s="4"/>
      <c r="N5" s="4"/>
      <c r="O5" s="4"/>
    </row>
    <row r="6" spans="1:15" x14ac:dyDescent="0.25">
      <c r="A6" t="s">
        <v>96</v>
      </c>
      <c r="B6">
        <v>2</v>
      </c>
      <c r="C6">
        <v>250000</v>
      </c>
      <c r="D6">
        <v>20</v>
      </c>
      <c r="E6">
        <f t="shared" si="1"/>
        <v>10000000</v>
      </c>
      <c r="F6">
        <f>F3+E6</f>
        <v>188400000</v>
      </c>
      <c r="G6">
        <f t="shared" si="0"/>
        <v>4.4988707834333583</v>
      </c>
      <c r="H6">
        <f>H5+Tabel5[[#This Row],[Persentase Nilai tiap barang (%)]]</f>
        <v>94.494281935234255</v>
      </c>
      <c r="I6" s="25">
        <f>I5+Tabel5[[#This Row],[Persentase Nilai tiap barang (%)]]</f>
        <v>14.234427158783145</v>
      </c>
      <c r="J6" s="9" t="s">
        <v>94</v>
      </c>
      <c r="M6" s="4"/>
      <c r="N6" s="4"/>
      <c r="O6" s="4"/>
    </row>
    <row r="7" spans="1:15" x14ac:dyDescent="0.25">
      <c r="A7" t="s">
        <v>99</v>
      </c>
      <c r="B7">
        <v>2</v>
      </c>
      <c r="C7">
        <v>193000</v>
      </c>
      <c r="D7">
        <v>23</v>
      </c>
      <c r="E7">
        <f t="shared" si="1"/>
        <v>8878000</v>
      </c>
      <c r="F7">
        <f>F5+E7</f>
        <v>218918000</v>
      </c>
      <c r="G7">
        <f t="shared" si="0"/>
        <v>3.9940974815321355</v>
      </c>
      <c r="H7">
        <f>H6+Tabel5[[#This Row],[Persentase Nilai tiap barang (%)]]</f>
        <v>98.488379416766392</v>
      </c>
      <c r="I7" s="27">
        <f>Tabel5[[#This Row],[Persentase Nilai tiap barang (%)]]</f>
        <v>3.9940974815321355</v>
      </c>
      <c r="J7" s="9" t="s">
        <v>94</v>
      </c>
      <c r="M7" s="4"/>
      <c r="N7" s="4"/>
      <c r="O7" s="4"/>
    </row>
    <row r="8" spans="1:15" x14ac:dyDescent="0.25">
      <c r="A8" t="s">
        <v>102</v>
      </c>
      <c r="B8">
        <v>10</v>
      </c>
      <c r="C8">
        <v>15000</v>
      </c>
      <c r="D8">
        <v>11</v>
      </c>
      <c r="E8">
        <f t="shared" si="1"/>
        <v>1650000</v>
      </c>
      <c r="F8">
        <f>F11+E8</f>
        <v>222278000</v>
      </c>
      <c r="G8">
        <f t="shared" si="0"/>
        <v>0.74231367926650405</v>
      </c>
      <c r="H8">
        <f>H7+Tabel5[[#This Row],[Persentase Nilai tiap barang (%)]]</f>
        <v>99.230693096032894</v>
      </c>
      <c r="I8" s="27">
        <f>I7+Tabel5[[#This Row],[Persentase Nilai tiap barang (%)]]</f>
        <v>4.7364111607986397</v>
      </c>
      <c r="J8" s="9" t="s">
        <v>94</v>
      </c>
      <c r="M8" s="4"/>
      <c r="N8" s="4"/>
      <c r="O8" s="4"/>
    </row>
    <row r="9" spans="1:15" x14ac:dyDescent="0.25">
      <c r="A9" t="s">
        <v>100</v>
      </c>
      <c r="B9">
        <v>2</v>
      </c>
      <c r="C9">
        <v>40000</v>
      </c>
      <c r="D9">
        <v>12</v>
      </c>
      <c r="E9">
        <f t="shared" si="1"/>
        <v>960000</v>
      </c>
      <c r="F9">
        <f>F7+E9</f>
        <v>219878000</v>
      </c>
      <c r="G9">
        <f t="shared" si="0"/>
        <v>0.43189159520960241</v>
      </c>
      <c r="H9">
        <f>H8+Tabel5[[#This Row],[Persentase Nilai tiap barang (%)]]</f>
        <v>99.6625846912425</v>
      </c>
      <c r="I9" s="27">
        <f>I8+Tabel5[[#This Row],[Persentase Nilai tiap barang (%)]]</f>
        <v>5.1683027560082424</v>
      </c>
      <c r="J9" s="9" t="s">
        <v>94</v>
      </c>
      <c r="M9" s="4"/>
      <c r="N9" s="4"/>
      <c r="O9" s="4"/>
    </row>
    <row r="10" spans="1:15" x14ac:dyDescent="0.25">
      <c r="A10" t="s">
        <v>101</v>
      </c>
      <c r="B10">
        <v>4</v>
      </c>
      <c r="C10">
        <v>20000</v>
      </c>
      <c r="D10">
        <v>5</v>
      </c>
      <c r="E10">
        <f t="shared" si="1"/>
        <v>400000</v>
      </c>
      <c r="F10">
        <f>F9+E10</f>
        <v>220278000</v>
      </c>
      <c r="G10">
        <f t="shared" si="0"/>
        <v>0.17995483133733434</v>
      </c>
      <c r="H10">
        <f>H9+Tabel5[[#This Row],[Persentase Nilai tiap barang (%)]]</f>
        <v>99.842539522579841</v>
      </c>
      <c r="I10" s="27">
        <f>I9+Tabel5[[#This Row],[Persentase Nilai tiap barang (%)]]</f>
        <v>5.3482575873455769</v>
      </c>
      <c r="J10" s="9" t="s">
        <v>94</v>
      </c>
      <c r="M10" s="4"/>
      <c r="N10" s="4"/>
      <c r="O10" s="4"/>
    </row>
    <row r="11" spans="1:15" x14ac:dyDescent="0.25">
      <c r="A11" t="s">
        <v>117</v>
      </c>
      <c r="B11">
        <v>2</v>
      </c>
      <c r="C11">
        <v>17500</v>
      </c>
      <c r="D11">
        <v>10</v>
      </c>
      <c r="E11">
        <f t="shared" si="1"/>
        <v>350000</v>
      </c>
      <c r="F11">
        <f>F10+E11</f>
        <v>220628000</v>
      </c>
      <c r="G11">
        <f t="shared" si="0"/>
        <v>0.15746047742016753</v>
      </c>
      <c r="H11">
        <f>H10+Tabel5[[#This Row],[Persentase Nilai tiap barang (%)]]</f>
        <v>100.00000000000001</v>
      </c>
      <c r="I11" s="25">
        <f>I10+Tabel5[[#This Row],[Persentase Nilai tiap barang (%)]]</f>
        <v>5.5057180647657447</v>
      </c>
      <c r="J11" s="9" t="s">
        <v>94</v>
      </c>
      <c r="M11" s="4"/>
      <c r="N11" s="4"/>
      <c r="O11" s="4"/>
    </row>
    <row r="12" spans="1:15" x14ac:dyDescent="0.25">
      <c r="A12" s="26" t="s">
        <v>56</v>
      </c>
      <c r="B12" s="26">
        <f>SUM(B2:B11)</f>
        <v>40</v>
      </c>
      <c r="C12" s="26">
        <f>SUM(C2:C11)</f>
        <v>2955500</v>
      </c>
      <c r="D12" s="26">
        <f>SUM(D2:D11)</f>
        <v>158</v>
      </c>
      <c r="E12" s="26">
        <f>SUM(E2:E11)</f>
        <v>222278000</v>
      </c>
      <c r="F12" s="26"/>
      <c r="G12" s="26">
        <f>SUM(G2:G11)</f>
        <v>100.00000000000001</v>
      </c>
      <c r="H12" s="26"/>
      <c r="I12" s="26">
        <f>SUM(I3+I6+I11)</f>
        <v>100</v>
      </c>
      <c r="M12" s="4"/>
      <c r="N12" s="4"/>
      <c r="O12" s="4"/>
    </row>
    <row r="17" spans="1:8" x14ac:dyDescent="0.25">
      <c r="A17">
        <f>E2/19</f>
        <v>7200000</v>
      </c>
    </row>
    <row r="18" spans="1:8" x14ac:dyDescent="0.25">
      <c r="G18">
        <f>1/10*100</f>
        <v>10</v>
      </c>
    </row>
    <row r="28" spans="1:8" ht="34.15" customHeight="1" x14ac:dyDescent="0.25"/>
    <row r="29" spans="1:8" x14ac:dyDescent="0.25">
      <c r="H29" s="34"/>
    </row>
  </sheetData>
  <pageMargins left="0.7" right="0.7" top="0.75" bottom="0.75" header="0.3" footer="0.3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zoomScale="70" zoomScaleNormal="70" workbookViewId="0">
      <selection activeCell="J34" sqref="J34"/>
    </sheetView>
  </sheetViews>
  <sheetFormatPr defaultRowHeight="15" x14ac:dyDescent="0.25"/>
  <cols>
    <col min="1" max="1" width="15.140625" bestFit="1" customWidth="1"/>
    <col min="2" max="2" width="13.85546875" bestFit="1" customWidth="1"/>
    <col min="5" max="5" width="19.28515625" bestFit="1" customWidth="1"/>
    <col min="6" max="6" width="19" bestFit="1" customWidth="1"/>
    <col min="7" max="7" width="13.7109375" bestFit="1" customWidth="1"/>
    <col min="8" max="8" width="13" bestFit="1" customWidth="1"/>
    <col min="9" max="9" width="12.140625" bestFit="1" customWidth="1"/>
    <col min="10" max="10" width="15.85546875" bestFit="1" customWidth="1"/>
  </cols>
  <sheetData>
    <row r="1" spans="1:10" x14ac:dyDescent="0.25">
      <c r="A1" s="40" t="s">
        <v>82</v>
      </c>
      <c r="B1" s="40"/>
      <c r="D1" t="s">
        <v>67</v>
      </c>
      <c r="E1" t="s">
        <v>59</v>
      </c>
      <c r="F1" t="s">
        <v>65</v>
      </c>
      <c r="G1" t="s">
        <v>68</v>
      </c>
      <c r="H1" t="s">
        <v>69</v>
      </c>
      <c r="I1" t="s">
        <v>71</v>
      </c>
      <c r="J1" t="s">
        <v>70</v>
      </c>
    </row>
    <row r="2" spans="1:10" x14ac:dyDescent="0.25">
      <c r="A2" t="s">
        <v>39</v>
      </c>
      <c r="B2" t="s">
        <v>60</v>
      </c>
      <c r="D2">
        <v>1</v>
      </c>
      <c r="E2" s="6">
        <f>1-(_xlfn.NORM.S.DIST((1/$B$5)*(LN(D2/$B$4)),TRUE))</f>
        <v>0.99999999999894407</v>
      </c>
      <c r="F2" s="6">
        <f>1-E2</f>
        <v>1.0559331187209864E-12</v>
      </c>
      <c r="G2">
        <f>(D2+$B$6)*E2</f>
        <v>1.0208333333322552</v>
      </c>
      <c r="H2">
        <f>$B$3/F2</f>
        <v>37800227079548.359</v>
      </c>
      <c r="I2" s="7">
        <f>(($B$6*E2)+($B$6*F2))/(((D2+$B$6)*E2)+((H2+$B$6)*F2))</f>
        <v>5.0893264323084643E-4</v>
      </c>
      <c r="J2" s="22">
        <f>(($B$8*E2)+($B$7*F2))/((G2+(H2+$B$9)*F2))</f>
        <v>175887.12150060947</v>
      </c>
    </row>
    <row r="3" spans="1:10" x14ac:dyDescent="0.25">
      <c r="A3" t="s">
        <v>46</v>
      </c>
      <c r="B3">
        <f>'MTTF &amp; Summary Dist'!E6</f>
        <v>39.914511668468982</v>
      </c>
      <c r="D3">
        <v>2</v>
      </c>
      <c r="E3" s="6">
        <f t="shared" ref="E3:E66" si="0">1-(_xlfn.NORM.S.DIST((1/$B$5)*(LN(D3/$B$4)),TRUE))</f>
        <v>0.99999999234960502</v>
      </c>
      <c r="F3" s="6">
        <f t="shared" ref="F3:F66" si="1">1-E3</f>
        <v>7.650394984182185E-9</v>
      </c>
      <c r="G3">
        <f t="shared" ref="G3:G25" si="2">(D3+$B$6)*E3</f>
        <v>2.0208333178731603</v>
      </c>
      <c r="H3">
        <f t="shared" ref="H3:H66" si="3">$B$3/F3</f>
        <v>5217313844.7093897</v>
      </c>
      <c r="I3" s="7">
        <f t="shared" ref="I3:I66" si="4">(($B$6*E3)+($B$6*F3))/(((D3+$B$6)*E3)+((H3+$B$6)*F3))</f>
        <v>4.9679651711555793E-4</v>
      </c>
      <c r="J3" s="22">
        <f t="shared" ref="J3:J66" si="5">(($B$8*E3)+($B$7*F3))/((G3+(H3+$B$9)*F3))</f>
        <v>171692.8765197215</v>
      </c>
    </row>
    <row r="4" spans="1:10" x14ac:dyDescent="0.25">
      <c r="A4" t="s">
        <v>61</v>
      </c>
      <c r="B4">
        <f>'MTTF &amp; Summary Dist'!E3</f>
        <v>35.110939215426789</v>
      </c>
      <c r="D4">
        <v>3</v>
      </c>
      <c r="E4" s="6">
        <f t="shared" si="0"/>
        <v>0.9999994056013809</v>
      </c>
      <c r="F4" s="6">
        <f t="shared" si="1"/>
        <v>5.943986191025985E-7</v>
      </c>
      <c r="G4">
        <f t="shared" si="2"/>
        <v>3.0208315377541717</v>
      </c>
      <c r="H4">
        <f t="shared" si="3"/>
        <v>67151084.11377278</v>
      </c>
      <c r="I4" s="7">
        <f t="shared" si="4"/>
        <v>4.8522573180001982E-4</v>
      </c>
      <c r="J4" s="22">
        <f t="shared" si="5"/>
        <v>167694.02843626621</v>
      </c>
    </row>
    <row r="5" spans="1:10" x14ac:dyDescent="0.25">
      <c r="A5" t="s">
        <v>49</v>
      </c>
      <c r="B5">
        <f>'MTTF &amp; Summary Dist'!E5</f>
        <v>0.5064133060282715</v>
      </c>
      <c r="D5">
        <v>4</v>
      </c>
      <c r="E5" s="6">
        <f t="shared" si="0"/>
        <v>0.99999104290541929</v>
      </c>
      <c r="F5" s="6">
        <f t="shared" si="1"/>
        <v>8.957094580708258E-6</v>
      </c>
      <c r="G5">
        <f t="shared" si="2"/>
        <v>4.0207973183488734</v>
      </c>
      <c r="H5">
        <f t="shared" si="3"/>
        <v>4456189.5946076801</v>
      </c>
      <c r="I5" s="7">
        <f t="shared" si="4"/>
        <v>4.7418201272008342E-4</v>
      </c>
      <c r="J5" s="22">
        <f t="shared" si="5"/>
        <v>163877.53225385427</v>
      </c>
    </row>
    <row r="6" spans="1:10" x14ac:dyDescent="0.25">
      <c r="A6" t="s">
        <v>58</v>
      </c>
      <c r="B6">
        <f>'Cost of Preventive &amp; MTTR Prev'!C12</f>
        <v>2.0833333333333332E-2</v>
      </c>
      <c r="D6">
        <v>5</v>
      </c>
      <c r="E6" s="6">
        <f t="shared" si="0"/>
        <v>0.99994064690252604</v>
      </c>
      <c r="F6" s="6">
        <f t="shared" si="1"/>
        <v>5.9353097473957561E-5</v>
      </c>
      <c r="G6">
        <f t="shared" si="2"/>
        <v>5.0205353313230994</v>
      </c>
      <c r="H6">
        <f t="shared" si="3"/>
        <v>672492.47920013487</v>
      </c>
      <c r="I6" s="7">
        <f t="shared" si="4"/>
        <v>4.6363215688052941E-4</v>
      </c>
      <c r="J6" s="22">
        <f t="shared" si="5"/>
        <v>160232.75498087369</v>
      </c>
    </row>
    <row r="7" spans="1:10" x14ac:dyDescent="0.25">
      <c r="A7" t="s">
        <v>63</v>
      </c>
      <c r="B7">
        <f>' Cost of Failure &amp; Production L'!E6</f>
        <v>8325000</v>
      </c>
      <c r="D7">
        <v>6</v>
      </c>
      <c r="E7" s="6">
        <f t="shared" si="0"/>
        <v>0.99975736450651331</v>
      </c>
      <c r="F7" s="6">
        <f t="shared" si="1"/>
        <v>2.42635493486687E-4</v>
      </c>
      <c r="G7">
        <f t="shared" si="2"/>
        <v>6.019372465466299</v>
      </c>
      <c r="H7">
        <f t="shared" si="3"/>
        <v>164504.01008894035</v>
      </c>
      <c r="I7" s="7">
        <f t="shared" si="4"/>
        <v>4.5355038951054734E-4</v>
      </c>
      <c r="J7" s="22">
        <f t="shared" si="5"/>
        <v>156752.9399254075</v>
      </c>
    </row>
    <row r="8" spans="1:10" x14ac:dyDescent="0.25">
      <c r="A8" t="s">
        <v>64</v>
      </c>
      <c r="B8">
        <v>7200000</v>
      </c>
      <c r="D8">
        <v>7</v>
      </c>
      <c r="E8" s="6">
        <f t="shared" si="0"/>
        <v>0.99927462922963184</v>
      </c>
      <c r="F8" s="6">
        <f t="shared" si="1"/>
        <v>7.2537077036816111E-4</v>
      </c>
      <c r="G8">
        <f t="shared" si="2"/>
        <v>7.0157406260497064</v>
      </c>
      <c r="H8">
        <f t="shared" si="3"/>
        <v>55026.357966161799</v>
      </c>
      <c r="I8" s="7">
        <f t="shared" si="4"/>
        <v>4.4392104466227513E-4</v>
      </c>
      <c r="J8" s="22">
        <f t="shared" si="5"/>
        <v>153436.45202452503</v>
      </c>
    </row>
    <row r="9" spans="1:10" x14ac:dyDescent="0.25">
      <c r="A9" t="s">
        <v>66</v>
      </c>
      <c r="B9">
        <f>' Cost of Failure &amp; Production L'!C6</f>
        <v>4.1666666666666664E-2</v>
      </c>
      <c r="D9">
        <v>8</v>
      </c>
      <c r="E9" s="6">
        <f t="shared" si="0"/>
        <v>0.99825365797553234</v>
      </c>
      <c r="F9" s="6">
        <f t="shared" si="1"/>
        <v>1.746342024467662E-3</v>
      </c>
      <c r="G9">
        <f t="shared" si="2"/>
        <v>8.006826215012083</v>
      </c>
      <c r="H9">
        <f t="shared" si="3"/>
        <v>22856.067774373201</v>
      </c>
      <c r="I9" s="7">
        <f t="shared" si="4"/>
        <v>4.3473989743832381E-4</v>
      </c>
      <c r="J9" s="22">
        <f t="shared" si="5"/>
        <v>150286.99150195747</v>
      </c>
    </row>
    <row r="10" spans="1:10" x14ac:dyDescent="0.25">
      <c r="D10">
        <v>9</v>
      </c>
      <c r="E10" s="6">
        <f t="shared" si="0"/>
        <v>0.99640697565566505</v>
      </c>
      <c r="F10" s="6">
        <f t="shared" si="1"/>
        <v>3.5930243443349497E-3</v>
      </c>
      <c r="G10">
        <f t="shared" si="2"/>
        <v>8.9884212595604787</v>
      </c>
      <c r="H10">
        <f t="shared" si="3"/>
        <v>11108.889849689274</v>
      </c>
      <c r="I10" s="7">
        <f t="shared" si="4"/>
        <v>4.2601333287933178E-4</v>
      </c>
      <c r="J10" s="22">
        <f t="shared" si="5"/>
        <v>147312.63887404211</v>
      </c>
    </row>
    <row r="11" spans="1:10" x14ac:dyDescent="0.25">
      <c r="D11">
        <v>10</v>
      </c>
      <c r="E11" s="6">
        <f t="shared" si="0"/>
        <v>0.99343170477208986</v>
      </c>
      <c r="F11" s="6">
        <f t="shared" si="1"/>
        <v>6.568295227910137E-3</v>
      </c>
      <c r="G11">
        <f t="shared" si="2"/>
        <v>9.9550135415703185</v>
      </c>
      <c r="H11">
        <f t="shared" si="3"/>
        <v>6076.8449473561122</v>
      </c>
      <c r="I11" s="7">
        <f t="shared" si="4"/>
        <v>4.1775565498408093E-4</v>
      </c>
      <c r="J11" s="22">
        <f t="shared" si="5"/>
        <v>144524.13069025098</v>
      </c>
    </row>
    <row r="12" spans="1:10" x14ac:dyDescent="0.25">
      <c r="D12">
        <v>11</v>
      </c>
      <c r="E12" s="6">
        <f t="shared" si="0"/>
        <v>0.98904251541796917</v>
      </c>
      <c r="F12" s="6">
        <f t="shared" si="1"/>
        <v>1.095748458203083E-2</v>
      </c>
      <c r="G12">
        <f t="shared" si="2"/>
        <v>10.900072722002202</v>
      </c>
      <c r="H12">
        <f t="shared" si="3"/>
        <v>3642.6710318100522</v>
      </c>
      <c r="I12" s="7">
        <f t="shared" si="4"/>
        <v>4.0998544003408136E-4</v>
      </c>
      <c r="J12" s="22">
        <f t="shared" si="5"/>
        <v>141932.92054848291</v>
      </c>
    </row>
    <row r="13" spans="1:10" x14ac:dyDescent="0.25">
      <c r="D13">
        <v>12</v>
      </c>
      <c r="E13" s="6">
        <f t="shared" si="0"/>
        <v>0.98299780014463922</v>
      </c>
      <c r="F13" s="6">
        <f t="shared" si="1"/>
        <v>1.7002199855360778E-2</v>
      </c>
      <c r="G13">
        <f t="shared" si="2"/>
        <v>11.816452722572018</v>
      </c>
      <c r="H13">
        <f t="shared" si="3"/>
        <v>2347.6086628804082</v>
      </c>
      <c r="I13" s="7">
        <f t="shared" si="4"/>
        <v>4.0272186937660053E-4</v>
      </c>
      <c r="J13" s="22">
        <f t="shared" si="5"/>
        <v>139549.46905563065</v>
      </c>
    </row>
    <row r="14" spans="1:10" x14ac:dyDescent="0.25">
      <c r="D14">
        <v>13</v>
      </c>
      <c r="E14" s="6">
        <f t="shared" si="0"/>
        <v>0.97511651357288331</v>
      </c>
      <c r="F14" s="6">
        <f t="shared" si="1"/>
        <v>2.4883486427116686E-2</v>
      </c>
      <c r="G14">
        <f t="shared" si="2"/>
        <v>12.696829603813585</v>
      </c>
      <c r="H14">
        <f t="shared" si="3"/>
        <v>1604.0562396824062</v>
      </c>
      <c r="I14" s="7">
        <f t="shared" si="4"/>
        <v>3.959816942556398E-4</v>
      </c>
      <c r="J14" s="22">
        <f t="shared" si="5"/>
        <v>137382.00373038836</v>
      </c>
    </row>
    <row r="15" spans="1:10" x14ac:dyDescent="0.25">
      <c r="A15">
        <f>350000000/831000000*100</f>
        <v>42.117930204572808</v>
      </c>
      <c r="D15">
        <v>14</v>
      </c>
      <c r="E15" s="6">
        <f t="shared" si="0"/>
        <v>0.96528585288257629</v>
      </c>
      <c r="F15" s="6">
        <f t="shared" si="1"/>
        <v>3.471414711742371E-2</v>
      </c>
      <c r="G15">
        <f t="shared" si="2"/>
        <v>13.534112062291122</v>
      </c>
      <c r="H15">
        <f t="shared" si="3"/>
        <v>1149.8053382517096</v>
      </c>
      <c r="I15" s="7">
        <f t="shared" si="4"/>
        <v>3.897771352731152E-4</v>
      </c>
      <c r="J15" s="22">
        <f t="shared" si="5"/>
        <v>135435.80756227317</v>
      </c>
    </row>
    <row r="16" spans="1:10" x14ac:dyDescent="0.25">
      <c r="D16">
        <v>15</v>
      </c>
      <c r="E16" s="6">
        <f t="shared" si="0"/>
        <v>0.95346141136581741</v>
      </c>
      <c r="F16" s="6">
        <f t="shared" si="1"/>
        <v>4.6538588634182587E-2</v>
      </c>
      <c r="G16">
        <f t="shared" si="2"/>
        <v>14.321784949890716</v>
      </c>
      <c r="H16">
        <f t="shared" si="3"/>
        <v>857.66485060855018</v>
      </c>
      <c r="I16" s="7">
        <f t="shared" si="4"/>
        <v>3.841147388799864E-4</v>
      </c>
      <c r="J16" s="22">
        <f t="shared" si="5"/>
        <v>133712.97600499887</v>
      </c>
    </row>
    <row r="17" spans="1:10" x14ac:dyDescent="0.25">
      <c r="D17">
        <v>16</v>
      </c>
      <c r="E17" s="6">
        <f t="shared" si="0"/>
        <v>0.9396619345669005</v>
      </c>
      <c r="F17" s="6">
        <f t="shared" si="1"/>
        <v>6.0338065433099497E-2</v>
      </c>
      <c r="G17">
        <f t="shared" si="2"/>
        <v>15.054167243373884</v>
      </c>
      <c r="H17">
        <f t="shared" si="3"/>
        <v>661.51460743673726</v>
      </c>
      <c r="I17" s="7">
        <f t="shared" si="4"/>
        <v>3.7899504468108433E-4</v>
      </c>
      <c r="J17" s="22">
        <f t="shared" si="5"/>
        <v>132212.5267299464</v>
      </c>
    </row>
    <row r="18" spans="1:10" x14ac:dyDescent="0.25">
      <c r="D18">
        <v>17</v>
      </c>
      <c r="E18" s="6">
        <f t="shared" si="0"/>
        <v>0.92396073212966612</v>
      </c>
      <c r="F18" s="6">
        <f t="shared" si="1"/>
        <v>7.6039267870333882E-2</v>
      </c>
      <c r="G18">
        <f t="shared" si="2"/>
        <v>15.726581628123691</v>
      </c>
      <c r="H18">
        <f t="shared" si="3"/>
        <v>524.9197261674492</v>
      </c>
      <c r="I18" s="7">
        <f t="shared" si="4"/>
        <v>3.7441284799424532E-4</v>
      </c>
      <c r="J18" s="22">
        <f t="shared" si="5"/>
        <v>130930.73691591564</v>
      </c>
    </row>
    <row r="19" spans="1:10" x14ac:dyDescent="0.25">
      <c r="B19">
        <f>496/23</f>
        <v>21.565217391304348</v>
      </c>
      <c r="D19">
        <v>18</v>
      </c>
      <c r="E19" s="6">
        <f t="shared" si="0"/>
        <v>0.90647544883678599</v>
      </c>
      <c r="F19" s="6">
        <f t="shared" si="1"/>
        <v>9.3524551163214009E-2</v>
      </c>
      <c r="G19">
        <f t="shared" si="2"/>
        <v>16.335442984246246</v>
      </c>
      <c r="H19">
        <f t="shared" si="3"/>
        <v>426.78110904603358</v>
      </c>
      <c r="I19" s="7">
        <f t="shared" si="4"/>
        <v>3.7035784022070408E-4</v>
      </c>
      <c r="J19" s="22">
        <f t="shared" si="5"/>
        <v>129861.59923446455</v>
      </c>
    </row>
    <row r="20" spans="1:10" x14ac:dyDescent="0.25">
      <c r="D20">
        <v>19</v>
      </c>
      <c r="E20" s="6">
        <f t="shared" si="0"/>
        <v>0.88735746740845189</v>
      </c>
      <c r="F20" s="6">
        <f t="shared" si="1"/>
        <v>0.11264253259154811</v>
      </c>
      <c r="G20">
        <f t="shared" si="2"/>
        <v>16.878278494664929</v>
      </c>
      <c r="H20">
        <f t="shared" si="3"/>
        <v>354.34671744466692</v>
      </c>
      <c r="I20" s="7">
        <f t="shared" si="4"/>
        <v>3.668154436604506E-4</v>
      </c>
      <c r="J20" s="22">
        <f t="shared" si="5"/>
        <v>128997.31439701568</v>
      </c>
    </row>
    <row r="21" spans="1:10" x14ac:dyDescent="0.25">
      <c r="D21">
        <v>20</v>
      </c>
      <c r="E21" s="6">
        <f t="shared" si="0"/>
        <v>0.86678180774303382</v>
      </c>
      <c r="F21" s="6">
        <f t="shared" si="1"/>
        <v>0.13321819225696618</v>
      </c>
      <c r="G21">
        <f t="shared" si="2"/>
        <v>17.353694109188655</v>
      </c>
      <c r="H21">
        <f t="shared" si="3"/>
        <v>299.61757468887879</v>
      </c>
      <c r="I21" s="7">
        <f t="shared" si="4"/>
        <v>3.6376770421209302E-4</v>
      </c>
      <c r="J21" s="22">
        <f t="shared" si="5"/>
        <v>128328.76540430542</v>
      </c>
    </row>
    <row r="22" spans="1:10" x14ac:dyDescent="0.25">
      <c r="D22">
        <v>21</v>
      </c>
      <c r="E22" s="6">
        <f t="shared" si="0"/>
        <v>0.84493804831984565</v>
      </c>
      <c r="F22" s="6">
        <f>1-E22</f>
        <v>0.15506195168015435</v>
      </c>
      <c r="G22">
        <f t="shared" si="2"/>
        <v>17.76130189072342</v>
      </c>
      <c r="H22">
        <f t="shared" si="3"/>
        <v>257.41009471363083</v>
      </c>
      <c r="I22" s="7">
        <f t="shared" si="4"/>
        <v>3.6119415098777888E-4</v>
      </c>
      <c r="J22" s="22">
        <f t="shared" si="5"/>
        <v>127845.9416329689</v>
      </c>
    </row>
    <row r="23" spans="1:10" x14ac:dyDescent="0.25">
      <c r="B23">
        <f>248/23</f>
        <v>10.782608695652174</v>
      </c>
      <c r="D23">
        <v>22</v>
      </c>
      <c r="E23" s="6">
        <f t="shared" si="0"/>
        <v>0.82202253722110041</v>
      </c>
      <c r="F23" s="6">
        <f t="shared" si="1"/>
        <v>0.17797746277889959</v>
      </c>
      <c r="G23">
        <f t="shared" si="2"/>
        <v>18.101621288389648</v>
      </c>
      <c r="H23">
        <f t="shared" si="3"/>
        <v>224.26722487922282</v>
      </c>
      <c r="I23" s="7">
        <f t="shared" si="4"/>
        <v>3.5907256963573999E-4</v>
      </c>
      <c r="J23" s="22">
        <f t="shared" si="5"/>
        <v>127538.29804288354</v>
      </c>
    </row>
    <row r="24" spans="1:10" x14ac:dyDescent="0.25">
      <c r="D24">
        <v>23</v>
      </c>
      <c r="E24" s="6">
        <f t="shared" si="0"/>
        <v>0.79823197705063809</v>
      </c>
      <c r="F24" s="6">
        <f t="shared" si="1"/>
        <v>0.20176802294936191</v>
      </c>
      <c r="G24">
        <f t="shared" si="2"/>
        <v>18.375965305019896</v>
      </c>
      <c r="H24">
        <f t="shared" si="3"/>
        <v>197.82377348508984</v>
      </c>
      <c r="I24" s="7">
        <f t="shared" si="4"/>
        <v>3.5737966421545104E-4</v>
      </c>
      <c r="J24" s="22">
        <f t="shared" si="5"/>
        <v>127395.04634554582</v>
      </c>
    </row>
    <row r="25" spans="1:10" x14ac:dyDescent="0.25">
      <c r="D25">
        <v>24</v>
      </c>
      <c r="E25" s="6">
        <f t="shared" si="0"/>
        <v>0.77375834714177927</v>
      </c>
      <c r="F25" s="6">
        <f t="shared" si="1"/>
        <v>0.22624165285822073</v>
      </c>
      <c r="G25">
        <f t="shared" si="2"/>
        <v>18.586320296968154</v>
      </c>
      <c r="H25">
        <f t="shared" si="3"/>
        <v>176.42424002923229</v>
      </c>
      <c r="I25" s="7">
        <f t="shared" si="4"/>
        <v>3.5609160148293329E-4</v>
      </c>
      <c r="J25" s="22">
        <f t="shared" si="5"/>
        <v>127405.38197862296</v>
      </c>
    </row>
    <row r="26" spans="1:10" x14ac:dyDescent="0.25">
      <c r="B26">
        <f>7200000*22</f>
        <v>158400000</v>
      </c>
      <c r="D26">
        <v>25</v>
      </c>
      <c r="E26" s="6">
        <f t="shared" si="0"/>
        <v>0.7487850535276962</v>
      </c>
      <c r="F26" s="6">
        <f t="shared" si="1"/>
        <v>0.2512149464723038</v>
      </c>
      <c r="G26">
        <f>(D26+$B$6)*E26</f>
        <v>18.735226026807563</v>
      </c>
      <c r="H26">
        <f t="shared" si="3"/>
        <v>158.88589524218264</v>
      </c>
      <c r="I26" s="7">
        <f t="shared" si="4"/>
        <v>3.5518444314928564E-4</v>
      </c>
      <c r="J26" s="22">
        <f t="shared" si="5"/>
        <v>127558.65440175917</v>
      </c>
    </row>
    <row r="27" spans="1:10" x14ac:dyDescent="0.25">
      <c r="A27">
        <f>7200000*11</f>
        <v>79200000</v>
      </c>
      <c r="B27">
        <f>8325000*12</f>
        <v>99900000</v>
      </c>
      <c r="D27">
        <v>26</v>
      </c>
      <c r="E27" s="6">
        <f t="shared" si="0"/>
        <v>0.72348415906951535</v>
      </c>
      <c r="F27" s="6">
        <f t="shared" si="1"/>
        <v>0.27651584093048465</v>
      </c>
      <c r="G27">
        <f t="shared" ref="G27:G73" si="6">(D27+$B$6)*E27</f>
        <v>18.825660722454678</v>
      </c>
      <c r="H27">
        <f t="shared" si="3"/>
        <v>144.34801107291131</v>
      </c>
      <c r="I27" s="7">
        <f t="shared" si="4"/>
        <v>3.5463447800773175E-4</v>
      </c>
      <c r="J27" s="22">
        <f t="shared" si="5"/>
        <v>127844.48965571859</v>
      </c>
    </row>
    <row r="28" spans="1:10" x14ac:dyDescent="0.25">
      <c r="D28">
        <v>27</v>
      </c>
      <c r="E28" s="6">
        <f t="shared" si="0"/>
        <v>0.6980145320435277</v>
      </c>
      <c r="F28" s="6">
        <f t="shared" si="1"/>
        <v>0.3019854679564723</v>
      </c>
      <c r="G28">
        <f t="shared" si="6"/>
        <v>18.86093433459282</v>
      </c>
      <c r="H28">
        <f t="shared" si="3"/>
        <v>132.17361728883654</v>
      </c>
      <c r="I28" s="7">
        <f t="shared" si="4"/>
        <v>3.5441846849931823E-4</v>
      </c>
      <c r="J28" s="22">
        <f t="shared" si="5"/>
        <v>128252.87416873146</v>
      </c>
    </row>
    <row r="29" spans="1:10" x14ac:dyDescent="0.25">
      <c r="D29">
        <v>28</v>
      </c>
      <c r="E29" s="6">
        <f t="shared" si="0"/>
        <v>0.67252075297115166</v>
      </c>
      <c r="F29" s="6">
        <f t="shared" si="1"/>
        <v>0.32747924702884834</v>
      </c>
      <c r="G29">
        <f t="shared" si="6"/>
        <v>18.844591932212477</v>
      </c>
      <c r="H29">
        <f t="shared" si="3"/>
        <v>121.88409503993036</v>
      </c>
      <c r="I29" s="7">
        <f t="shared" si="4"/>
        <v>3.5451382665528978E-4</v>
      </c>
      <c r="J29" s="22">
        <f t="shared" si="5"/>
        <v>128774.20806655681</v>
      </c>
    </row>
    <row r="30" spans="1:10" x14ac:dyDescent="0.25">
      <c r="D30">
        <v>29</v>
      </c>
      <c r="E30" s="6">
        <f t="shared" si="0"/>
        <v>0.64713263033722213</v>
      </c>
      <c r="F30" s="6">
        <f t="shared" si="1"/>
        <v>0.35286736966277787</v>
      </c>
      <c r="G30">
        <f t="shared" si="6"/>
        <v>18.780328209578133</v>
      </c>
      <c r="H30">
        <f t="shared" si="3"/>
        <v>113.11477087443303</v>
      </c>
      <c r="I30" s="7">
        <f t="shared" si="4"/>
        <v>3.5489873339481182E-4</v>
      </c>
      <c r="J30" s="22">
        <f t="shared" si="5"/>
        <v>129399.33515776735</v>
      </c>
    </row>
    <row r="31" spans="1:10" x14ac:dyDescent="0.25">
      <c r="D31">
        <v>30</v>
      </c>
      <c r="E31" s="6">
        <f t="shared" si="0"/>
        <v>0.62196519170998399</v>
      </c>
      <c r="F31" s="6">
        <f t="shared" si="1"/>
        <v>0.37803480829001601</v>
      </c>
      <c r="G31">
        <f t="shared" si="6"/>
        <v>18.671913359460145</v>
      </c>
      <c r="H31">
        <f t="shared" si="3"/>
        <v>105.58422344496877</v>
      </c>
      <c r="I31" s="7">
        <f t="shared" si="4"/>
        <v>3.5555221353555396E-4</v>
      </c>
      <c r="J31" s="22">
        <f t="shared" si="5"/>
        <v>130119.55557918869</v>
      </c>
    </row>
    <row r="32" spans="1:10" x14ac:dyDescent="0.25">
      <c r="D32">
        <v>31</v>
      </c>
      <c r="E32" s="6">
        <f t="shared" si="0"/>
        <v>0.59711903469215477</v>
      </c>
      <c r="F32" s="6">
        <f t="shared" si="1"/>
        <v>0.40288096530784523</v>
      </c>
      <c r="G32">
        <f t="shared" si="6"/>
        <v>18.523130055346218</v>
      </c>
      <c r="H32">
        <f t="shared" si="3"/>
        <v>99.072716523030365</v>
      </c>
      <c r="I32" s="7">
        <f t="shared" si="4"/>
        <v>3.5645417701635364E-4</v>
      </c>
      <c r="J32" s="22">
        <f t="shared" si="5"/>
        <v>130926.62594492981</v>
      </c>
    </row>
    <row r="33" spans="4:10" x14ac:dyDescent="0.25">
      <c r="D33">
        <v>32</v>
      </c>
      <c r="E33" s="6">
        <f t="shared" si="0"/>
        <v>0.57268094019218097</v>
      </c>
      <c r="F33" s="6">
        <f t="shared" si="1"/>
        <v>0.42731905980781903</v>
      </c>
      <c r="G33">
        <f t="shared" si="6"/>
        <v>18.337720939070461</v>
      </c>
      <c r="H33">
        <f t="shared" si="3"/>
        <v>93.406813368961338</v>
      </c>
      <c r="I33" s="7">
        <f t="shared" si="4"/>
        <v>3.5758543498822919E-4</v>
      </c>
      <c r="J33" s="22">
        <f t="shared" si="5"/>
        <v>131812.75082022123</v>
      </c>
    </row>
    <row r="34" spans="4:10" x14ac:dyDescent="0.25">
      <c r="D34">
        <v>33</v>
      </c>
      <c r="E34" s="6">
        <f t="shared" si="0"/>
        <v>0.54872466755947191</v>
      </c>
      <c r="F34" s="6">
        <f t="shared" si="1"/>
        <v>0.45127533244052809</v>
      </c>
      <c r="G34">
        <f t="shared" si="6"/>
        <v>18.119345793370062</v>
      </c>
      <c r="H34">
        <f t="shared" si="3"/>
        <v>88.448246113095863</v>
      </c>
      <c r="I34" s="7">
        <f t="shared" si="4"/>
        <v>3.5892769773853496E-4</v>
      </c>
      <c r="J34" s="22">
        <f t="shared" si="5"/>
        <v>132770.56846734576</v>
      </c>
    </row>
    <row r="35" spans="4:10" x14ac:dyDescent="0.25">
      <c r="D35">
        <v>34</v>
      </c>
      <c r="E35" s="6">
        <f t="shared" si="0"/>
        <v>0.52531186655190165</v>
      </c>
      <c r="F35" s="6">
        <f t="shared" si="1"/>
        <v>0.47468813344809835</v>
      </c>
      <c r="G35">
        <f t="shared" si="6"/>
        <v>17.871547459984487</v>
      </c>
      <c r="H35">
        <f t="shared" si="3"/>
        <v>84.085758324171749</v>
      </c>
      <c r="I35" s="7">
        <f t="shared" si="4"/>
        <v>3.6046355993457992E-4</v>
      </c>
      <c r="J35" s="22">
        <f t="shared" si="5"/>
        <v>133793.13308798833</v>
      </c>
    </row>
    <row r="36" spans="4:10" x14ac:dyDescent="0.25">
      <c r="D36">
        <v>35</v>
      </c>
      <c r="E36" s="6">
        <f t="shared" si="0"/>
        <v>0.50249305462361704</v>
      </c>
      <c r="F36" s="6">
        <f t="shared" si="1"/>
        <v>0.49750694537638296</v>
      </c>
      <c r="G36">
        <f t="shared" si="6"/>
        <v>17.597725517131256</v>
      </c>
      <c r="H36">
        <f t="shared" si="3"/>
        <v>80.229054165810965</v>
      </c>
      <c r="I36" s="7">
        <f t="shared" si="4"/>
        <v>3.6217647742386387E-4</v>
      </c>
      <c r="J36" s="22">
        <f t="shared" si="5"/>
        <v>134873.8952030662</v>
      </c>
    </row>
    <row r="37" spans="4:10" x14ac:dyDescent="0.25">
      <c r="D37">
        <v>36</v>
      </c>
      <c r="E37" s="6">
        <f t="shared" si="0"/>
        <v>0.48030861958627735</v>
      </c>
      <c r="F37" s="6">
        <f t="shared" si="1"/>
        <v>0.51969138041372265</v>
      </c>
      <c r="G37">
        <f t="shared" si="6"/>
        <v>17.301116734680701</v>
      </c>
      <c r="H37">
        <f t="shared" si="3"/>
        <v>76.80425955245461</v>
      </c>
      <c r="I37" s="7">
        <f t="shared" si="4"/>
        <v>3.6405073879909459E-4</v>
      </c>
      <c r="J37" s="22">
        <f t="shared" si="5"/>
        <v>136006.6813499867</v>
      </c>
    </row>
    <row r="38" spans="4:10" x14ac:dyDescent="0.25">
      <c r="D38">
        <v>37</v>
      </c>
      <c r="E38" s="6">
        <f t="shared" si="0"/>
        <v>0.45878981739343827</v>
      </c>
      <c r="F38" s="6">
        <f t="shared" si="1"/>
        <v>0.54121018260656173</v>
      </c>
      <c r="G38">
        <f t="shared" si="6"/>
        <v>16.984781364752912</v>
      </c>
      <c r="H38">
        <f t="shared" si="3"/>
        <v>73.750481700536014</v>
      </c>
      <c r="I38" s="7">
        <f t="shared" si="4"/>
        <v>3.6607143410542336E-4</v>
      </c>
      <c r="J38" s="22">
        <f t="shared" si="5"/>
        <v>137185.67391906696</v>
      </c>
    </row>
    <row r="39" spans="4:10" x14ac:dyDescent="0.25">
      <c r="D39">
        <v>38</v>
      </c>
      <c r="E39" s="6">
        <f t="shared" si="0"/>
        <v>0.43795974278740823</v>
      </c>
      <c r="F39" s="6">
        <f t="shared" si="1"/>
        <v>0.56204025721259177</v>
      </c>
      <c r="G39">
        <f t="shared" si="6"/>
        <v>16.651594387229586</v>
      </c>
      <c r="H39">
        <f t="shared" si="3"/>
        <v>71.01717564934377</v>
      </c>
      <c r="I39" s="7">
        <f t="shared" si="4"/>
        <v>3.6822442240796782E-4</v>
      </c>
      <c r="J39" s="22">
        <f t="shared" si="5"/>
        <v>138405.39167703083</v>
      </c>
    </row>
    <row r="40" spans="4:10" x14ac:dyDescent="0.25">
      <c r="D40">
        <v>39</v>
      </c>
      <c r="E40" s="6">
        <f t="shared" si="0"/>
        <v>0.41783425702696797</v>
      </c>
      <c r="F40" s="6">
        <f t="shared" si="1"/>
        <v>0.58216574297303203</v>
      </c>
      <c r="G40">
        <f t="shared" si="6"/>
        <v>16.30424090440648</v>
      </c>
      <c r="H40">
        <f t="shared" si="3"/>
        <v>68.562109932184669</v>
      </c>
      <c r="I40" s="7">
        <f t="shared" si="4"/>
        <v>3.704962994222782E-4</v>
      </c>
      <c r="J40" s="22">
        <f t="shared" si="5"/>
        <v>139660.67131953358</v>
      </c>
    </row>
    <row r="41" spans="4:10" x14ac:dyDescent="0.25">
      <c r="D41">
        <v>40</v>
      </c>
      <c r="E41" s="6">
        <f t="shared" si="0"/>
        <v>0.39842286208841993</v>
      </c>
      <c r="F41" s="6">
        <f t="shared" si="1"/>
        <v>0.60157713791158007</v>
      </c>
      <c r="G41">
        <f t="shared" si="6"/>
        <v>15.945214959830306</v>
      </c>
      <c r="H41">
        <f t="shared" si="3"/>
        <v>66.349781521011906</v>
      </c>
      <c r="I41" s="7">
        <f t="shared" si="4"/>
        <v>3.7287436601342392E-4</v>
      </c>
      <c r="J41" s="22">
        <f t="shared" si="5"/>
        <v>140946.65024240158</v>
      </c>
    </row>
    <row r="42" spans="4:10" x14ac:dyDescent="0.25">
      <c r="D42">
        <v>41</v>
      </c>
      <c r="E42" s="6">
        <f t="shared" si="0"/>
        <v>0.3797295148003994</v>
      </c>
      <c r="F42" s="6">
        <f t="shared" si="1"/>
        <v>0.6202704851996006</v>
      </c>
      <c r="G42">
        <f t="shared" si="6"/>
        <v>15.576821138374719</v>
      </c>
      <c r="H42">
        <f t="shared" si="3"/>
        <v>64.35017080592614</v>
      </c>
      <c r="I42" s="7">
        <f t="shared" si="4"/>
        <v>3.7534659806826845E-4</v>
      </c>
      <c r="J42" s="22">
        <f t="shared" si="5"/>
        <v>142258.75061095878</v>
      </c>
    </row>
    <row r="43" spans="4:10" x14ac:dyDescent="0.25">
      <c r="D43">
        <v>42</v>
      </c>
      <c r="E43" s="6">
        <f t="shared" si="0"/>
        <v>0.3617533775181444</v>
      </c>
      <c r="F43" s="6">
        <f t="shared" si="1"/>
        <v>0.6382466224818556</v>
      </c>
      <c r="G43">
        <f t="shared" si="6"/>
        <v>15.201178384460361</v>
      </c>
      <c r="H43">
        <f t="shared" si="3"/>
        <v>62.537756194085766</v>
      </c>
      <c r="I43" s="7">
        <f t="shared" si="4"/>
        <v>3.7790161802102372E-4</v>
      </c>
      <c r="J43" s="22">
        <f t="shared" si="5"/>
        <v>143592.66472889975</v>
      </c>
    </row>
    <row r="44" spans="4:10" x14ac:dyDescent="0.25">
      <c r="D44">
        <v>43</v>
      </c>
      <c r="E44" s="6">
        <f t="shared" si="0"/>
        <v>0.34448950432909176</v>
      </c>
      <c r="F44" s="6">
        <f t="shared" si="1"/>
        <v>0.65551049567090824</v>
      </c>
      <c r="G44">
        <f t="shared" si="6"/>
        <v>14.820225550824469</v>
      </c>
      <c r="H44">
        <f t="shared" si="3"/>
        <v>60.890728572723908</v>
      </c>
      <c r="I44" s="7">
        <f t="shared" si="4"/>
        <v>3.8052866814825763E-4</v>
      </c>
      <c r="J44" s="22">
        <f t="shared" si="5"/>
        <v>144944.34165502558</v>
      </c>
    </row>
    <row r="45" spans="4:10" x14ac:dyDescent="0.25">
      <c r="D45">
        <v>44</v>
      </c>
      <c r="E45" s="6">
        <f t="shared" si="0"/>
        <v>0.32792946355121455</v>
      </c>
      <c r="F45" s="6">
        <f t="shared" si="1"/>
        <v>0.67207053644878545</v>
      </c>
      <c r="G45">
        <f t="shared" si="6"/>
        <v>14.435728260077425</v>
      </c>
      <c r="H45">
        <f t="shared" si="3"/>
        <v>59.390360838278816</v>
      </c>
      <c r="I45" s="7">
        <f t="shared" si="4"/>
        <v>3.83217585633015E-4</v>
      </c>
      <c r="J45" s="22">
        <f t="shared" si="5"/>
        <v>146309.9749817483</v>
      </c>
    </row>
    <row r="46" spans="4:10" x14ac:dyDescent="0.25">
      <c r="D46">
        <v>45</v>
      </c>
      <c r="E46" s="6">
        <f t="shared" si="0"/>
        <v>0.31206189856017319</v>
      </c>
      <c r="F46" s="6">
        <f t="shared" si="1"/>
        <v>0.68793810143982681</v>
      </c>
      <c r="G46">
        <f t="shared" si="6"/>
        <v>14.049286724761131</v>
      </c>
      <c r="H46">
        <f t="shared" si="3"/>
        <v>58.020498624701133</v>
      </c>
      <c r="I46" s="7">
        <f t="shared" si="4"/>
        <v>3.8595877931794681E-4</v>
      </c>
      <c r="J46" s="22">
        <f t="shared" si="5"/>
        <v>147685.99166887117</v>
      </c>
    </row>
    <row r="47" spans="4:10" x14ac:dyDescent="0.25">
      <c r="D47">
        <v>46</v>
      </c>
      <c r="E47" s="6">
        <f t="shared" si="0"/>
        <v>0.29687302986355468</v>
      </c>
      <c r="F47" s="6">
        <f t="shared" si="1"/>
        <v>0.70312697013644532</v>
      </c>
      <c r="G47">
        <f t="shared" si="6"/>
        <v>13.662344228512341</v>
      </c>
      <c r="H47">
        <f t="shared" si="3"/>
        <v>56.767146424099437</v>
      </c>
      <c r="I47" s="7">
        <f t="shared" si="4"/>
        <v>3.8874320801577462E-4</v>
      </c>
      <c r="J47" s="22">
        <f t="shared" si="5"/>
        <v>149069.04181609704</v>
      </c>
    </row>
    <row r="48" spans="4:10" x14ac:dyDescent="0.25">
      <c r="D48">
        <v>47</v>
      </c>
      <c r="E48" s="6">
        <f t="shared" si="0"/>
        <v>0.2823471019153444</v>
      </c>
      <c r="F48" s="6">
        <f t="shared" si="1"/>
        <v>0.7176528980846556</v>
      </c>
      <c r="G48">
        <f t="shared" si="6"/>
        <v>13.27619602131109</v>
      </c>
      <c r="H48">
        <f t="shared" si="3"/>
        <v>55.618129286451506</v>
      </c>
      <c r="I48" s="7">
        <f t="shared" si="4"/>
        <v>3.9156236021524346E-4</v>
      </c>
      <c r="J48" s="22">
        <f t="shared" si="5"/>
        <v>150455.98925517002</v>
      </c>
    </row>
    <row r="49" spans="4:10" x14ac:dyDescent="0.25">
      <c r="D49">
        <v>48</v>
      </c>
      <c r="E49" s="6">
        <f t="shared" si="0"/>
        <v>0.26846677850120182</v>
      </c>
      <c r="F49" s="6">
        <f t="shared" si="1"/>
        <v>0.73153322149879818</v>
      </c>
      <c r="G49">
        <f t="shared" si="6"/>
        <v>12.891998425943129</v>
      </c>
      <c r="H49">
        <f t="shared" si="3"/>
        <v>54.562814777831051</v>
      </c>
      <c r="I49" s="7">
        <f t="shared" si="4"/>
        <v>3.9440823500655508E-4</v>
      </c>
      <c r="J49" s="22">
        <f t="shared" si="5"/>
        <v>151843.9028453377</v>
      </c>
    </row>
    <row r="50" spans="4:10" x14ac:dyDescent="0.25">
      <c r="D50">
        <v>49</v>
      </c>
      <c r="E50" s="6">
        <f t="shared" si="0"/>
        <v>0.25521349068195631</v>
      </c>
      <c r="F50" s="6">
        <f t="shared" si="1"/>
        <v>0.74478650931804369</v>
      </c>
      <c r="G50">
        <f t="shared" si="6"/>
        <v>12.510777991138401</v>
      </c>
      <c r="H50">
        <f t="shared" si="3"/>
        <v>53.591883270034394</v>
      </c>
      <c r="I50" s="7">
        <f t="shared" si="4"/>
        <v>3.9727332404786749E-4</v>
      </c>
      <c r="J50" s="22">
        <f t="shared" si="5"/>
        <v>153230.04836227093</v>
      </c>
    </row>
    <row r="51" spans="4:10" x14ac:dyDescent="0.25">
      <c r="D51">
        <v>50</v>
      </c>
      <c r="E51" s="6">
        <f t="shared" si="0"/>
        <v>0.2425677413047469</v>
      </c>
      <c r="F51" s="6">
        <f t="shared" si="1"/>
        <v>0.7574322586952531</v>
      </c>
      <c r="G51">
        <f t="shared" si="6"/>
        <v>12.133440559847861</v>
      </c>
      <c r="H51">
        <f t="shared" si="3"/>
        <v>52.697137216238197</v>
      </c>
      <c r="I51" s="7">
        <f t="shared" si="4"/>
        <v>4.0015059440048158E-4</v>
      </c>
      <c r="J51" s="22">
        <f t="shared" si="5"/>
        <v>154611.88087942146</v>
      </c>
    </row>
    <row r="52" spans="4:10" x14ac:dyDescent="0.25">
      <c r="D52">
        <v>51</v>
      </c>
      <c r="E52" s="6">
        <f t="shared" si="0"/>
        <v>0.23050937001491167</v>
      </c>
      <c r="F52" s="6">
        <f t="shared" si="1"/>
        <v>0.76949062998508833</v>
      </c>
      <c r="G52">
        <f t="shared" si="6"/>
        <v>11.760780149302473</v>
      </c>
      <c r="H52">
        <f t="shared" si="3"/>
        <v>51.871342045116876</v>
      </c>
      <c r="I52" s="7">
        <f t="shared" si="4"/>
        <v>4.0303347207218469E-4</v>
      </c>
      <c r="J52" s="22">
        <f t="shared" si="5"/>
        <v>155987.0375510809</v>
      </c>
    </row>
    <row r="53" spans="4:10" x14ac:dyDescent="0.25">
      <c r="D53">
        <v>52</v>
      </c>
      <c r="E53" s="6">
        <f t="shared" si="0"/>
        <v>0.21901778255591797</v>
      </c>
      <c r="F53" s="6">
        <f t="shared" si="1"/>
        <v>0.78098221744408203</v>
      </c>
      <c r="G53">
        <f t="shared" si="6"/>
        <v>11.393487563377651</v>
      </c>
      <c r="H53">
        <f t="shared" si="3"/>
        <v>51.108092830970051</v>
      </c>
      <c r="I53" s="7">
        <f t="shared" si="4"/>
        <v>4.0591582612388552E-4</v>
      </c>
      <c r="J53" s="22">
        <f t="shared" si="5"/>
        <v>157353.33071739957</v>
      </c>
    </row>
    <row r="54" spans="4:10" x14ac:dyDescent="0.25">
      <c r="D54">
        <v>53</v>
      </c>
      <c r="E54" s="6">
        <f t="shared" si="0"/>
        <v>0.20807214795183226</v>
      </c>
      <c r="F54" s="6">
        <f t="shared" si="1"/>
        <v>0.79192785204816774</v>
      </c>
      <c r="G54">
        <f t="shared" si="6"/>
        <v>11.032158677862773</v>
      </c>
      <c r="H54">
        <f t="shared" si="3"/>
        <v>50.401702080862343</v>
      </c>
      <c r="I54" s="7">
        <f t="shared" si="4"/>
        <v>4.0879195321255835E-4</v>
      </c>
      <c r="J54" s="22">
        <f t="shared" si="5"/>
        <v>158708.74126279986</v>
      </c>
    </row>
    <row r="55" spans="4:10" x14ac:dyDescent="0.25">
      <c r="D55">
        <v>54</v>
      </c>
      <c r="E55" s="6">
        <f t="shared" si="0"/>
        <v>0.19765156694449493</v>
      </c>
      <c r="F55" s="6">
        <f t="shared" si="1"/>
        <v>0.80234843305550507</v>
      </c>
      <c r="G55">
        <f t="shared" si="6"/>
        <v>10.677302355980737</v>
      </c>
      <c r="H55">
        <f t="shared" si="3"/>
        <v>49.747104903622045</v>
      </c>
      <c r="I55" s="7">
        <f t="shared" si="4"/>
        <v>4.1165656246245545E-4</v>
      </c>
      <c r="J55" s="22">
        <f t="shared" si="5"/>
        <v>160051.41217017383</v>
      </c>
    </row>
    <row r="56" spans="4:10" x14ac:dyDescent="0.25">
      <c r="D56">
        <v>55</v>
      </c>
      <c r="E56" s="6">
        <f t="shared" si="0"/>
        <v>0.18773521481895661</v>
      </c>
      <c r="F56" s="6">
        <f t="shared" si="1"/>
        <v>0.81226478518104339</v>
      </c>
      <c r="G56">
        <f t="shared" si="6"/>
        <v>10.329347965351342</v>
      </c>
      <c r="H56">
        <f t="shared" si="3"/>
        <v>49.139778550873103</v>
      </c>
      <c r="I56" s="7">
        <f t="shared" si="4"/>
        <v>4.1450476057559101E-4</v>
      </c>
      <c r="J56" s="22">
        <f t="shared" si="5"/>
        <v>161379.64222371273</v>
      </c>
    </row>
    <row r="57" spans="4:10" x14ac:dyDescent="0.25">
      <c r="D57">
        <v>56</v>
      </c>
      <c r="E57" s="6">
        <f t="shared" si="0"/>
        <v>0.17830246150583962</v>
      </c>
      <c r="F57" s="6">
        <f t="shared" si="1"/>
        <v>0.82169753849416038</v>
      </c>
      <c r="G57">
        <f t="shared" si="6"/>
        <v>9.9886524789417237</v>
      </c>
      <c r="H57">
        <f t="shared" si="3"/>
        <v>48.575673892873233</v>
      </c>
      <c r="I57" s="7">
        <f t="shared" si="4"/>
        <v>4.1733203711101735E-4</v>
      </c>
      <c r="J57" s="22">
        <f t="shared" si="5"/>
        <v>162691.87982297258</v>
      </c>
    </row>
    <row r="58" spans="4:10" x14ac:dyDescent="0.25">
      <c r="D58">
        <v>57</v>
      </c>
      <c r="E58" s="6">
        <f t="shared" si="0"/>
        <v>0.16933297160545624</v>
      </c>
      <c r="F58" s="6">
        <f t="shared" si="1"/>
        <v>0.83066702839454376</v>
      </c>
      <c r="G58">
        <f t="shared" si="6"/>
        <v>9.6555071517527864</v>
      </c>
      <c r="H58">
        <f t="shared" si="3"/>
        <v>48.051156846339516</v>
      </c>
      <c r="I58" s="7">
        <f t="shared" si="4"/>
        <v>4.2013424987987408E-4</v>
      </c>
      <c r="J58" s="22">
        <f t="shared" si="5"/>
        <v>163986.71687970962</v>
      </c>
    </row>
    <row r="59" spans="4:10" x14ac:dyDescent="0.25">
      <c r="D59">
        <v>58</v>
      </c>
      <c r="E59" s="6">
        <f t="shared" si="0"/>
        <v>0.16080678674102755</v>
      </c>
      <c r="F59" s="6">
        <f t="shared" si="1"/>
        <v>0.83919321325897245</v>
      </c>
      <c r="G59">
        <f t="shared" si="6"/>
        <v>9.330143772370036</v>
      </c>
      <c r="H59">
        <f t="shared" si="3"/>
        <v>47.562958133875526</v>
      </c>
      <c r="I59" s="7">
        <f t="shared" si="4"/>
        <v>4.2290761041928482E-4</v>
      </c>
      <c r="J59" s="22">
        <f t="shared" si="5"/>
        <v>165262.88277703972</v>
      </c>
    </row>
    <row r="60" spans="4:10" x14ac:dyDescent="0.25">
      <c r="D60">
        <v>59</v>
      </c>
      <c r="E60" s="6">
        <f t="shared" si="0"/>
        <v>0.15270439242085732</v>
      </c>
      <c r="F60" s="6">
        <f t="shared" si="1"/>
        <v>0.84729560757914268</v>
      </c>
      <c r="G60">
        <f t="shared" si="6"/>
        <v>9.012740494339349</v>
      </c>
      <c r="H60">
        <f t="shared" si="3"/>
        <v>47.108130045086675</v>
      </c>
      <c r="I60" s="7">
        <f t="shared" si="4"/>
        <v>4.2564866952265443E-4</v>
      </c>
      <c r="J60" s="22">
        <f t="shared" si="5"/>
        <v>166519.23837755839</v>
      </c>
    </row>
    <row r="61" spans="4:10" x14ac:dyDescent="0.25">
      <c r="D61">
        <v>60</v>
      </c>
      <c r="E61" s="6">
        <f t="shared" si="0"/>
        <v>0.14500677137425111</v>
      </c>
      <c r="F61" s="6">
        <f t="shared" si="1"/>
        <v>0.85499322862574889</v>
      </c>
      <c r="G61">
        <f t="shared" si="6"/>
        <v>8.7034272568586974</v>
      </c>
      <c r="H61">
        <f t="shared" si="3"/>
        <v>46.684009103352238</v>
      </c>
      <c r="I61" s="7">
        <f t="shared" si="4"/>
        <v>4.2835430281667612E-4</v>
      </c>
      <c r="J61" s="22">
        <f t="shared" si="5"/>
        <v>167754.77007318594</v>
      </c>
    </row>
    <row r="62" spans="4:10" x14ac:dyDescent="0.25">
      <c r="D62">
        <v>61</v>
      </c>
      <c r="E62" s="6">
        <f t="shared" si="0"/>
        <v>0.13769544512476861</v>
      </c>
      <c r="F62" s="6">
        <f t="shared" si="1"/>
        <v>0.86230455487523139</v>
      </c>
      <c r="G62">
        <f t="shared" si="6"/>
        <v>8.4022908077176517</v>
      </c>
      <c r="H62">
        <f t="shared" si="3"/>
        <v>46.288183731378176</v>
      </c>
      <c r="I62" s="7">
        <f t="shared" si="4"/>
        <v>4.3102169638632775E-4</v>
      </c>
      <c r="J62" s="22">
        <f t="shared" si="5"/>
        <v>168968.58387470755</v>
      </c>
    </row>
    <row r="63" spans="4:10" x14ac:dyDescent="0.25">
      <c r="D63">
        <v>62</v>
      </c>
      <c r="E63" s="6">
        <f t="shared" si="0"/>
        <v>0.13075250537779748</v>
      </c>
      <c r="F63" s="6">
        <f t="shared" si="1"/>
        <v>0.86924749462220252</v>
      </c>
      <c r="G63">
        <f t="shared" si="6"/>
        <v>8.1093793439521473</v>
      </c>
      <c r="H63">
        <f t="shared" si="3"/>
        <v>45.918466162294621</v>
      </c>
      <c r="I63" s="7">
        <f t="shared" si="4"/>
        <v>4.3364833245833307E-4</v>
      </c>
      <c r="J63" s="22">
        <f t="shared" si="5"/>
        <v>170159.89954329055</v>
      </c>
    </row>
    <row r="64" spans="4:10" x14ac:dyDescent="0.25">
      <c r="D64">
        <v>63</v>
      </c>
      <c r="E64" s="6">
        <f t="shared" si="0"/>
        <v>0.124160636627628</v>
      </c>
      <c r="F64" s="6">
        <f t="shared" si="1"/>
        <v>0.875839363372372</v>
      </c>
      <c r="G64">
        <f t="shared" si="6"/>
        <v>7.8247067874703067</v>
      </c>
      <c r="H64">
        <f t="shared" si="3"/>
        <v>45.572867968368442</v>
      </c>
      <c r="I64" s="7">
        <f t="shared" si="4"/>
        <v>4.3623197516104488E-4</v>
      </c>
      <c r="J64" s="22">
        <f t="shared" si="5"/>
        <v>171328.04476973787</v>
      </c>
    </row>
    <row r="65" spans="4:10" x14ac:dyDescent="0.25">
      <c r="D65">
        <v>64</v>
      </c>
      <c r="E65" s="6">
        <f t="shared" si="0"/>
        <v>0.11790313123199558</v>
      </c>
      <c r="F65" s="6">
        <f t="shared" si="1"/>
        <v>0.88209686876800442</v>
      </c>
      <c r="G65">
        <f t="shared" si="6"/>
        <v>7.5482567140817167</v>
      </c>
      <c r="H65">
        <f t="shared" si="3"/>
        <v>45.249578682006053</v>
      </c>
      <c r="I65" s="7">
        <f t="shared" si="4"/>
        <v>4.3877065638454703E-4</v>
      </c>
      <c r="J65" s="22">
        <f t="shared" si="5"/>
        <v>172472.44940993882</v>
      </c>
    </row>
    <row r="66" spans="4:10" x14ac:dyDescent="0.25">
      <c r="D66">
        <v>65</v>
      </c>
      <c r="E66" s="6">
        <f t="shared" si="0"/>
        <v>0.11196389805896256</v>
      </c>
      <c r="F66" s="6">
        <f t="shared" si="1"/>
        <v>0.88803610194103744</v>
      </c>
      <c r="G66">
        <f t="shared" si="6"/>
        <v>7.279985955042128</v>
      </c>
      <c r="H66">
        <f t="shared" si="3"/>
        <v>44.946947068058691</v>
      </c>
      <c r="I66" s="7">
        <f t="shared" si="4"/>
        <v>4.4126266176911037E-4</v>
      </c>
      <c r="J66" s="22">
        <f t="shared" si="5"/>
        <v>173592.63978697153</v>
      </c>
    </row>
    <row r="67" spans="4:10" x14ac:dyDescent="0.25">
      <c r="D67">
        <v>66</v>
      </c>
      <c r="E67" s="6">
        <f t="shared" ref="E67:E73" si="7">1-(_xlfn.NORM.S.DIST((1/$B$5)*(LN(D67/$B$4)),TRUE))</f>
        <v>0.1063274656813713</v>
      </c>
      <c r="F67" s="6">
        <f t="shared" ref="F67:F73" si="8">1-E67</f>
        <v>0.8936725343186287</v>
      </c>
      <c r="G67">
        <f t="shared" si="6"/>
        <v>7.0198278905055345</v>
      </c>
      <c r="H67">
        <f t="shared" ref="H67:H73" si="9">$B$3/F67</f>
        <v>44.663464676019593</v>
      </c>
      <c r="I67" s="7">
        <f t="shared" ref="I67:I73" si="10">(($B$6*E67)+($B$6*F67))/(((D67+$B$6)*E67)+((H67+$B$6)*F67))</f>
        <v>4.437065168530798E-4</v>
      </c>
      <c r="J67" s="22">
        <f t="shared" ref="J67:J73" si="11">(($B$8*E67)+($B$7*F67))/((G67+(H67+$B$9)*F67))</f>
        <v>174688.23307167462</v>
      </c>
    </row>
    <row r="68" spans="4:10" x14ac:dyDescent="0.25">
      <c r="D68">
        <v>67</v>
      </c>
      <c r="E68" s="6">
        <f t="shared" si="7"/>
        <v>0.10097898097714098</v>
      </c>
      <c r="F68" s="6">
        <f t="shared" si="8"/>
        <v>0.89902101902285902</v>
      </c>
      <c r="G68">
        <f t="shared" si="6"/>
        <v>6.7676954542388019</v>
      </c>
      <c r="H68">
        <f t="shared" si="9"/>
        <v>44.397751358307332</v>
      </c>
      <c r="I68" s="7">
        <f t="shared" si="10"/>
        <v>4.4610097341297691E-4</v>
      </c>
      <c r="J68" s="22">
        <f t="shared" si="11"/>
        <v>175758.93175430608</v>
      </c>
    </row>
    <row r="69" spans="4:10" x14ac:dyDescent="0.25">
      <c r="D69">
        <v>68</v>
      </c>
      <c r="E69" s="6">
        <f t="shared" si="7"/>
        <v>9.5904203888533379E-2</v>
      </c>
      <c r="F69" s="6">
        <f t="shared" si="8"/>
        <v>0.90409579611146662</v>
      </c>
      <c r="G69">
        <f t="shared" si="6"/>
        <v>6.523483868667947</v>
      </c>
      <c r="H69">
        <f t="shared" si="9"/>
        <v>44.14854248868545</v>
      </c>
      <c r="I69" s="7">
        <f t="shared" si="10"/>
        <v>4.4844499602922003E-4</v>
      </c>
      <c r="J69" s="22">
        <f t="shared" si="11"/>
        <v>176804.51822022349</v>
      </c>
    </row>
    <row r="70" spans="4:10" x14ac:dyDescent="0.25">
      <c r="D70">
        <v>69</v>
      </c>
      <c r="E70" s="6">
        <f t="shared" si="7"/>
        <v>9.1089498999318286E-2</v>
      </c>
      <c r="F70" s="6">
        <f t="shared" si="8"/>
        <v>0.90891050100068171</v>
      </c>
      <c r="G70">
        <f t="shared" si="6"/>
        <v>6.28707312884878</v>
      </c>
      <c r="H70">
        <f t="shared" si="9"/>
        <v>43.914677654757391</v>
      </c>
      <c r="I70" s="7">
        <f t="shared" si="10"/>
        <v>4.5073774891053135E-4</v>
      </c>
      <c r="J70" s="22">
        <f t="shared" si="11"/>
        <v>177824.8494424198</v>
      </c>
    </row>
    <row r="71" spans="4:10" x14ac:dyDescent="0.25">
      <c r="D71">
        <v>70</v>
      </c>
      <c r="E71" s="6">
        <f t="shared" si="7"/>
        <v>8.652182450462631E-2</v>
      </c>
      <c r="F71" s="6">
        <f t="shared" si="8"/>
        <v>0.91347817549537369</v>
      </c>
      <c r="G71">
        <f t="shared" si="6"/>
        <v>6.0583302533343542</v>
      </c>
      <c r="H71">
        <f t="shared" si="9"/>
        <v>43.695090631829913</v>
      </c>
      <c r="I71" s="7">
        <f t="shared" si="10"/>
        <v>4.5297858300898336E-4</v>
      </c>
      <c r="J71" s="22">
        <f t="shared" si="11"/>
        <v>178819.85180330506</v>
      </c>
    </row>
    <row r="72" spans="4:10" x14ac:dyDescent="0.25">
      <c r="D72">
        <v>71</v>
      </c>
      <c r="E72" s="6">
        <f t="shared" si="7"/>
        <v>8.2188719073333805E-2</v>
      </c>
      <c r="F72" s="6">
        <f t="shared" si="8"/>
        <v>0.9178112809266662</v>
      </c>
      <c r="G72">
        <f t="shared" si="6"/>
        <v>5.837111319187394</v>
      </c>
      <c r="H72">
        <f t="shared" si="9"/>
        <v>43.488800473414734</v>
      </c>
      <c r="I72" s="7">
        <f t="shared" si="10"/>
        <v>4.5516702345585366E-4</v>
      </c>
      <c r="J72" s="22">
        <f t="shared" si="11"/>
        <v>179789.51605739782</v>
      </c>
    </row>
    <row r="73" spans="4:10" x14ac:dyDescent="0.25">
      <c r="D73">
        <v>72</v>
      </c>
      <c r="E73" s="6">
        <f t="shared" si="7"/>
        <v>7.8078287036247085E-2</v>
      </c>
      <c r="F73" s="6">
        <f t="shared" si="8"/>
        <v>0.92192171296375292</v>
      </c>
      <c r="G73">
        <f t="shared" si="6"/>
        <v>5.6232632975897117</v>
      </c>
      <c r="H73">
        <f t="shared" si="9"/>
        <v>43.294903577174232</v>
      </c>
      <c r="I73" s="7">
        <f t="shared" si="10"/>
        <v>4.5730275734616027E-4</v>
      </c>
      <c r="J73" s="22">
        <f t="shared" si="11"/>
        <v>180733.89244564131</v>
      </c>
    </row>
  </sheetData>
  <mergeCells count="1">
    <mergeCell ref="A1:B1"/>
  </mergeCells>
  <conditionalFormatting sqref="L25">
    <cfRule type="top10" dxfId="7" priority="8" bottom="1" rank="1"/>
  </conditionalFormatting>
  <conditionalFormatting sqref="J2:J73">
    <cfRule type="top10" dxfId="6" priority="4" bottom="1" rank="1"/>
    <cfRule type="top10" dxfId="5" priority="5" bottom="1" rank="1"/>
    <cfRule type="top10" dxfId="4" priority="7" bottom="1" rank="1"/>
  </conditionalFormatting>
  <conditionalFormatting sqref="I2:I73">
    <cfRule type="top10" dxfId="3" priority="3" bottom="1" rank="1"/>
    <cfRule type="top10" dxfId="2" priority="6" bottom="1" rank="1"/>
  </conditionalFormatting>
  <conditionalFormatting sqref="I1:I1048576">
    <cfRule type="top10" dxfId="1" priority="2" bottom="1" rank="1"/>
  </conditionalFormatting>
  <conditionalFormatting sqref="J1:J1048576">
    <cfRule type="top10" dxfId="0" priority="1" bottom="1" rank="1"/>
  </conditionalFormatting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="70" zoomScaleNormal="70" workbookViewId="0">
      <selection activeCell="D4" sqref="D4"/>
    </sheetView>
  </sheetViews>
  <sheetFormatPr defaultRowHeight="15" x14ac:dyDescent="0.25"/>
  <cols>
    <col min="1" max="1" width="32.5703125" bestFit="1" customWidth="1"/>
    <col min="2" max="2" width="22.140625" bestFit="1" customWidth="1"/>
    <col min="3" max="3" width="14.85546875" bestFit="1" customWidth="1"/>
    <col min="4" max="4" width="32.42578125" bestFit="1" customWidth="1"/>
    <col min="5" max="5" width="14.85546875" bestFit="1" customWidth="1"/>
    <col min="7" max="7" width="25" customWidth="1"/>
  </cols>
  <sheetData>
    <row r="1" spans="1:7" ht="15" customHeight="1" x14ac:dyDescent="0.25">
      <c r="A1" t="s">
        <v>121</v>
      </c>
      <c r="D1" t="s">
        <v>107</v>
      </c>
      <c r="G1" s="43" t="s">
        <v>112</v>
      </c>
    </row>
    <row r="2" spans="1:7" x14ac:dyDescent="0.25">
      <c r="A2" t="s">
        <v>122</v>
      </c>
      <c r="B2">
        <v>12</v>
      </c>
      <c r="D2" t="s">
        <v>83</v>
      </c>
      <c r="E2">
        <v>12</v>
      </c>
      <c r="G2" s="43"/>
    </row>
    <row r="3" spans="1:7" x14ac:dyDescent="0.25">
      <c r="A3" t="s">
        <v>53</v>
      </c>
      <c r="B3">
        <f>'Cost of Preventive &amp; MTTR Prev'!B4*B2</f>
        <v>7200000</v>
      </c>
      <c r="D3" t="s">
        <v>51</v>
      </c>
      <c r="E3">
        <f>B3</f>
        <v>7200000</v>
      </c>
      <c r="G3" s="43"/>
    </row>
    <row r="4" spans="1:7" x14ac:dyDescent="0.25">
      <c r="A4" t="s">
        <v>104</v>
      </c>
      <c r="B4">
        <f>' Cost of Failure &amp; Production L'!D6</f>
        <v>1125000</v>
      </c>
      <c r="G4" s="43"/>
    </row>
    <row r="5" spans="1:7" x14ac:dyDescent="0.25">
      <c r="A5" t="s">
        <v>56</v>
      </c>
      <c r="B5">
        <f>SUM(B3:B4)</f>
        <v>8325000</v>
      </c>
      <c r="D5" t="s">
        <v>56</v>
      </c>
      <c r="E5">
        <f>SUM(E3:E4)</f>
        <v>7200000</v>
      </c>
      <c r="G5" s="43"/>
    </row>
    <row r="6" spans="1:7" x14ac:dyDescent="0.25">
      <c r="A6" t="s">
        <v>105</v>
      </c>
      <c r="B6">
        <v>12</v>
      </c>
      <c r="D6" t="s">
        <v>125</v>
      </c>
      <c r="E6">
        <v>248</v>
      </c>
      <c r="F6" t="s">
        <v>108</v>
      </c>
      <c r="G6" s="43"/>
    </row>
    <row r="7" spans="1:7" x14ac:dyDescent="0.25">
      <c r="A7" t="s">
        <v>106</v>
      </c>
      <c r="B7">
        <f>(B3+B4)*B6</f>
        <v>99900000</v>
      </c>
      <c r="D7" t="s">
        <v>109</v>
      </c>
      <c r="E7">
        <v>23</v>
      </c>
      <c r="F7" t="s">
        <v>108</v>
      </c>
      <c r="G7" s="43"/>
    </row>
    <row r="8" spans="1:7" x14ac:dyDescent="0.25">
      <c r="D8" t="s">
        <v>110</v>
      </c>
      <c r="E8">
        <f>E6/E7</f>
        <v>10.782608695652174</v>
      </c>
      <c r="F8">
        <f>ROUNDUP(E8,0)</f>
        <v>11</v>
      </c>
      <c r="G8" s="43"/>
    </row>
    <row r="9" spans="1:7" x14ac:dyDescent="0.25">
      <c r="D9" t="s">
        <v>111</v>
      </c>
      <c r="E9">
        <f>(E3+E4)*11</f>
        <v>79200000</v>
      </c>
      <c r="G9" s="43"/>
    </row>
    <row r="10" spans="1:7" x14ac:dyDescent="0.25">
      <c r="G10" s="38"/>
    </row>
    <row r="11" spans="1:7" x14ac:dyDescent="0.25">
      <c r="G11" s="38"/>
    </row>
    <row r="13" spans="1:7" x14ac:dyDescent="0.25">
      <c r="B13">
        <f>24*60</f>
        <v>1440</v>
      </c>
    </row>
    <row r="14" spans="1:7" x14ac:dyDescent="0.25">
      <c r="A14" t="s">
        <v>113</v>
      </c>
      <c r="B14" t="s">
        <v>114</v>
      </c>
      <c r="C14" t="s">
        <v>115</v>
      </c>
      <c r="D14">
        <f>15/1440</f>
        <v>1.0416666666666666E-2</v>
      </c>
    </row>
    <row r="15" spans="1:7" x14ac:dyDescent="0.25">
      <c r="A15" t="s">
        <v>83</v>
      </c>
      <c r="B15">
        <f>B7-E9</f>
        <v>20700000</v>
      </c>
      <c r="C15" s="5">
        <f>(B15/B7)*100</f>
        <v>20.72072072072072</v>
      </c>
    </row>
    <row r="16" spans="1:7" x14ac:dyDescent="0.25">
      <c r="C16" s="5"/>
    </row>
  </sheetData>
  <mergeCells count="1">
    <mergeCell ref="G1:G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zoomScale="70" zoomScaleNormal="70" workbookViewId="0">
      <selection activeCell="E8" sqref="E8"/>
    </sheetView>
  </sheetViews>
  <sheetFormatPr defaultRowHeight="15" x14ac:dyDescent="0.25"/>
  <cols>
    <col min="1" max="1" width="22.42578125" bestFit="1" customWidth="1"/>
    <col min="2" max="2" width="16.28515625" bestFit="1" customWidth="1"/>
  </cols>
  <sheetData>
    <row r="1" spans="1:2" x14ac:dyDescent="0.25">
      <c r="A1" s="39" t="s">
        <v>0</v>
      </c>
      <c r="B1" s="16" t="s">
        <v>1</v>
      </c>
    </row>
    <row r="2" spans="1:2" ht="15.75" thickBot="1" x14ac:dyDescent="0.3">
      <c r="A2" s="39"/>
      <c r="B2" s="1" t="s">
        <v>82</v>
      </c>
    </row>
    <row r="3" spans="1:2" ht="16.5" thickBot="1" x14ac:dyDescent="0.3">
      <c r="A3" s="1">
        <v>1</v>
      </c>
      <c r="B3" s="2">
        <v>62</v>
      </c>
    </row>
    <row r="4" spans="1:2" ht="16.5" thickBot="1" x14ac:dyDescent="0.3">
      <c r="A4" s="1">
        <v>2</v>
      </c>
      <c r="B4" s="3">
        <v>55</v>
      </c>
    </row>
    <row r="5" spans="1:2" ht="16.5" thickBot="1" x14ac:dyDescent="0.3">
      <c r="A5" s="1">
        <v>3</v>
      </c>
      <c r="B5" s="3">
        <v>47</v>
      </c>
    </row>
    <row r="6" spans="1:2" ht="16.5" thickBot="1" x14ac:dyDescent="0.3">
      <c r="A6" s="1">
        <v>4</v>
      </c>
      <c r="B6" s="3">
        <v>28</v>
      </c>
    </row>
    <row r="7" spans="1:2" ht="16.5" thickBot="1" x14ac:dyDescent="0.3">
      <c r="A7" s="1">
        <v>5</v>
      </c>
      <c r="B7" s="3">
        <v>64</v>
      </c>
    </row>
    <row r="8" spans="1:2" ht="16.5" thickBot="1" x14ac:dyDescent="0.3">
      <c r="A8" s="1">
        <v>6</v>
      </c>
      <c r="B8" s="3">
        <v>40</v>
      </c>
    </row>
    <row r="9" spans="1:2" ht="16.5" thickBot="1" x14ac:dyDescent="0.3">
      <c r="A9" s="1">
        <v>7</v>
      </c>
      <c r="B9" s="3">
        <v>43</v>
      </c>
    </row>
    <row r="10" spans="1:2" ht="16.5" thickBot="1" x14ac:dyDescent="0.3">
      <c r="A10" s="1">
        <v>8</v>
      </c>
      <c r="B10" s="3">
        <v>53</v>
      </c>
    </row>
    <row r="11" spans="1:2" ht="16.5" thickBot="1" x14ac:dyDescent="0.3">
      <c r="A11" s="1">
        <v>9</v>
      </c>
      <c r="B11" s="3">
        <v>22</v>
      </c>
    </row>
    <row r="12" spans="1:2" ht="16.5" thickBot="1" x14ac:dyDescent="0.3">
      <c r="A12" s="1">
        <v>10</v>
      </c>
      <c r="B12" s="3">
        <v>33</v>
      </c>
    </row>
    <row r="13" spans="1:2" ht="16.5" thickBot="1" x14ac:dyDescent="0.3">
      <c r="A13" s="1">
        <v>11</v>
      </c>
      <c r="B13" s="3">
        <v>24</v>
      </c>
    </row>
    <row r="14" spans="1:2" ht="16.5" thickBot="1" x14ac:dyDescent="0.3">
      <c r="A14" s="1">
        <v>12</v>
      </c>
      <c r="B14" s="3">
        <v>22</v>
      </c>
    </row>
    <row r="15" spans="1:2" ht="16.5" thickBot="1" x14ac:dyDescent="0.3">
      <c r="A15" s="1">
        <v>13</v>
      </c>
      <c r="B15" s="3">
        <v>17</v>
      </c>
    </row>
    <row r="16" spans="1:2" ht="16.5" thickBot="1" x14ac:dyDescent="0.3">
      <c r="A16" s="1">
        <v>14</v>
      </c>
      <c r="B16" s="3">
        <v>14</v>
      </c>
    </row>
    <row r="17" spans="1:2" ht="16.5" thickBot="1" x14ac:dyDescent="0.3">
      <c r="A17" s="1">
        <v>15</v>
      </c>
      <c r="B17" s="3">
        <v>23</v>
      </c>
    </row>
    <row r="18" spans="1:2" ht="16.5" thickBot="1" x14ac:dyDescent="0.3">
      <c r="A18" s="1">
        <v>16</v>
      </c>
      <c r="B18" s="3">
        <v>105</v>
      </c>
    </row>
    <row r="19" spans="1:2" ht="16.5" thickBot="1" x14ac:dyDescent="0.3">
      <c r="A19" s="1">
        <v>17</v>
      </c>
      <c r="B19" s="3">
        <v>38</v>
      </c>
    </row>
    <row r="20" spans="1:2" ht="16.5" thickBot="1" x14ac:dyDescent="0.3">
      <c r="A20" s="1">
        <v>18</v>
      </c>
      <c r="B20" s="3">
        <v>30</v>
      </c>
    </row>
    <row r="21" spans="1:2" x14ac:dyDescent="0.25">
      <c r="A21" s="1">
        <v>19</v>
      </c>
      <c r="B21" s="1" t="s">
        <v>103</v>
      </c>
    </row>
  </sheetData>
  <mergeCells count="1">
    <mergeCell ref="A1:A2"/>
  </mergeCells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F14" sqref="F14"/>
    </sheetView>
  </sheetViews>
  <sheetFormatPr defaultRowHeight="15" x14ac:dyDescent="0.25"/>
  <cols>
    <col min="1" max="1" width="14.7109375" bestFit="1" customWidth="1"/>
    <col min="2" max="2" width="15.42578125" bestFit="1" customWidth="1"/>
    <col min="3" max="3" width="15.28515625" bestFit="1" customWidth="1"/>
  </cols>
  <sheetData>
    <row r="1" spans="1:3" x14ac:dyDescent="0.25">
      <c r="A1" t="s">
        <v>2</v>
      </c>
      <c r="B1" t="s">
        <v>3</v>
      </c>
      <c r="C1" t="s">
        <v>55</v>
      </c>
    </row>
    <row r="2" spans="1:3" x14ac:dyDescent="0.25">
      <c r="A2" s="1" t="s">
        <v>83</v>
      </c>
      <c r="B2">
        <v>60</v>
      </c>
      <c r="C2">
        <f>B2/1440</f>
        <v>4.1666666666666664E-2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6" sqref="A6:B6"/>
    </sheetView>
  </sheetViews>
  <sheetFormatPr defaultRowHeight="15" x14ac:dyDescent="0.25"/>
  <cols>
    <col min="1" max="1" width="17.28515625" bestFit="1" customWidth="1"/>
    <col min="2" max="2" width="12.140625" bestFit="1" customWidth="1"/>
  </cols>
  <sheetData>
    <row r="1" spans="1:3" x14ac:dyDescent="0.25">
      <c r="A1" t="s">
        <v>4</v>
      </c>
    </row>
    <row r="2" spans="1:3" x14ac:dyDescent="0.25">
      <c r="A2" t="s">
        <v>5</v>
      </c>
      <c r="B2">
        <v>24000</v>
      </c>
      <c r="C2" t="s">
        <v>74</v>
      </c>
    </row>
    <row r="3" spans="1:3" x14ac:dyDescent="0.25">
      <c r="A3" t="s">
        <v>6</v>
      </c>
      <c r="B3">
        <v>1125</v>
      </c>
      <c r="C3" t="s">
        <v>77</v>
      </c>
    </row>
    <row r="4" spans="1:3" x14ac:dyDescent="0.25">
      <c r="A4" t="s">
        <v>7</v>
      </c>
    </row>
    <row r="5" spans="1:3" x14ac:dyDescent="0.25">
      <c r="A5" t="s">
        <v>82</v>
      </c>
      <c r="B5">
        <f>'KLASIFIKASI KOMPONEN'!C2</f>
        <v>600000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view="pageBreakPreview" topLeftCell="G1" zoomScale="60" zoomScaleNormal="80" zoomScalePageLayoutView="50" workbookViewId="0">
      <selection activeCell="N27" sqref="N27"/>
    </sheetView>
  </sheetViews>
  <sheetFormatPr defaultRowHeight="15" x14ac:dyDescent="0.25"/>
  <cols>
    <col min="7" max="7" width="18" bestFit="1" customWidth="1"/>
    <col min="11" max="11" width="11.5703125" bestFit="1" customWidth="1"/>
    <col min="21" max="21" width="14.7109375" bestFit="1" customWidth="1"/>
    <col min="30" max="30" width="14.7109375" bestFit="1" customWidth="1"/>
  </cols>
  <sheetData>
    <row r="2" spans="1:33" x14ac:dyDescent="0.25">
      <c r="A2" s="42" t="s">
        <v>84</v>
      </c>
      <c r="B2" s="42"/>
      <c r="C2" s="42"/>
      <c r="D2" s="42"/>
      <c r="E2" s="42"/>
      <c r="F2" s="42"/>
      <c r="G2" s="42"/>
      <c r="H2" s="1"/>
      <c r="I2" s="39" t="s">
        <v>85</v>
      </c>
      <c r="J2" s="39"/>
      <c r="K2" s="39"/>
      <c r="L2" s="39"/>
      <c r="M2" s="39"/>
      <c r="N2" s="39"/>
      <c r="O2" s="39"/>
      <c r="P2" s="39"/>
      <c r="R2" s="39" t="s">
        <v>86</v>
      </c>
      <c r="S2" s="39"/>
      <c r="T2" s="39"/>
      <c r="U2" s="39"/>
      <c r="V2" s="39"/>
      <c r="W2" s="39"/>
      <c r="X2" s="39"/>
      <c r="Z2" s="39" t="s">
        <v>87</v>
      </c>
      <c r="AA2" s="39"/>
      <c r="AB2" s="39"/>
      <c r="AC2" s="39"/>
      <c r="AD2" s="39"/>
      <c r="AE2" s="39"/>
      <c r="AF2" s="39"/>
      <c r="AG2" s="39"/>
    </row>
    <row r="3" spans="1:33" x14ac:dyDescent="0.25">
      <c r="A3" s="42"/>
      <c r="B3" s="42"/>
      <c r="C3" s="42"/>
      <c r="D3" s="42"/>
      <c r="E3" s="42"/>
      <c r="F3" s="42"/>
      <c r="G3" s="42"/>
      <c r="H3" s="1"/>
      <c r="I3" s="39"/>
      <c r="J3" s="39"/>
      <c r="K3" s="39"/>
      <c r="L3" s="39"/>
      <c r="M3" s="39"/>
      <c r="N3" s="39"/>
      <c r="O3" s="39"/>
      <c r="P3" s="39"/>
      <c r="R3" s="39"/>
      <c r="S3" s="39"/>
      <c r="T3" s="39"/>
      <c r="U3" s="39"/>
      <c r="V3" s="39"/>
      <c r="W3" s="39"/>
      <c r="X3" s="39"/>
      <c r="Z3" s="39"/>
      <c r="AA3" s="39"/>
      <c r="AB3" s="39"/>
      <c r="AC3" s="39"/>
      <c r="AD3" s="39"/>
      <c r="AE3" s="39"/>
      <c r="AF3" s="39"/>
      <c r="AG3" s="39"/>
    </row>
    <row r="4" spans="1:33" x14ac:dyDescent="0.25">
      <c r="A4" s="17" t="s">
        <v>9</v>
      </c>
      <c r="B4" s="17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1"/>
      <c r="I4" s="17" t="s">
        <v>9</v>
      </c>
      <c r="J4" s="17" t="s">
        <v>20</v>
      </c>
      <c r="K4" s="17" t="s">
        <v>16</v>
      </c>
      <c r="L4" s="17" t="s">
        <v>11</v>
      </c>
      <c r="M4" s="17" t="s">
        <v>12</v>
      </c>
      <c r="N4" s="17" t="s">
        <v>13</v>
      </c>
      <c r="O4" s="17" t="s">
        <v>14</v>
      </c>
      <c r="P4" s="17" t="s">
        <v>15</v>
      </c>
      <c r="R4" s="17" t="s">
        <v>9</v>
      </c>
      <c r="S4" s="17" t="s">
        <v>18</v>
      </c>
      <c r="T4" s="17" t="s">
        <v>11</v>
      </c>
      <c r="U4" s="17" t="s">
        <v>19</v>
      </c>
      <c r="V4" s="17" t="s">
        <v>13</v>
      </c>
      <c r="W4" s="17" t="s">
        <v>14</v>
      </c>
      <c r="X4" s="17" t="s">
        <v>15</v>
      </c>
      <c r="Z4" s="17" t="s">
        <v>9</v>
      </c>
      <c r="AA4" s="17" t="s">
        <v>20</v>
      </c>
      <c r="AB4" s="17" t="s">
        <v>16</v>
      </c>
      <c r="AC4" s="17" t="s">
        <v>11</v>
      </c>
      <c r="AD4" s="17" t="s">
        <v>19</v>
      </c>
      <c r="AE4" s="17" t="s">
        <v>13</v>
      </c>
      <c r="AF4" s="17" t="s">
        <v>14</v>
      </c>
      <c r="AG4" s="17" t="s">
        <v>15</v>
      </c>
    </row>
    <row r="5" spans="1:33" x14ac:dyDescent="0.25">
      <c r="A5" s="17">
        <v>1</v>
      </c>
      <c r="B5" s="12">
        <v>14</v>
      </c>
      <c r="C5" s="18">
        <f>(A5-0.3)/(18+0.4)</f>
        <v>3.8043478260869568E-2</v>
      </c>
      <c r="D5" s="19">
        <f>_xlfn.NORM.S.INV(C5)</f>
        <v>-1.7738560957392397</v>
      </c>
      <c r="E5" s="17">
        <f>B5*D5</f>
        <v>-24.833985340349358</v>
      </c>
      <c r="F5" s="17">
        <f>B5^2</f>
        <v>196</v>
      </c>
      <c r="G5" s="18">
        <f>D5^2</f>
        <v>3.1465654483912591</v>
      </c>
      <c r="H5" s="1"/>
      <c r="I5" s="17">
        <v>1</v>
      </c>
      <c r="J5" s="12">
        <v>14</v>
      </c>
      <c r="K5" s="12">
        <f>LN(J5)</f>
        <v>2.6390573296152584</v>
      </c>
      <c r="L5" s="18">
        <f>(I5-0.3)/(18+0.4)</f>
        <v>3.8043478260869568E-2</v>
      </c>
      <c r="M5" s="19">
        <f>_xlfn.NORM.S.INV(L5)</f>
        <v>-1.7738560957392397</v>
      </c>
      <c r="N5" s="17">
        <f>K5*M5</f>
        <v>-4.6813079311433459</v>
      </c>
      <c r="O5" s="17">
        <f>K5^2</f>
        <v>6.9646235889960186</v>
      </c>
      <c r="P5" s="18">
        <f>M5^2</f>
        <v>3.1465654483912591</v>
      </c>
      <c r="R5" s="17">
        <v>1</v>
      </c>
      <c r="S5" s="12">
        <v>14</v>
      </c>
      <c r="T5" s="18">
        <f t="shared" ref="T5:T22" si="0">(R5-0.3)/(18+0.4)</f>
        <v>3.8043478260869568E-2</v>
      </c>
      <c r="U5" s="18">
        <f>LN((1/(1-T5)))</f>
        <v>3.8786025035156449E-2</v>
      </c>
      <c r="V5" s="17">
        <f>S5*U5</f>
        <v>0.54300435049219031</v>
      </c>
      <c r="W5" s="17">
        <f>S5^2</f>
        <v>196</v>
      </c>
      <c r="X5" s="18">
        <f>U5^2</f>
        <v>1.5043557380277827E-3</v>
      </c>
      <c r="Z5" s="17">
        <v>1</v>
      </c>
      <c r="AA5" s="12">
        <v>14</v>
      </c>
      <c r="AB5" s="12">
        <f>LN(AA5)</f>
        <v>2.6390573296152584</v>
      </c>
      <c r="AC5" s="18">
        <f t="shared" ref="AC5:AC22" si="1">(Z5-0.3)/(18+0.4)</f>
        <v>3.8043478260869568E-2</v>
      </c>
      <c r="AD5" s="18">
        <f>LN(LN((1/(1-AC5))))</f>
        <v>-3.2496952767394043</v>
      </c>
      <c r="AE5" s="17">
        <f>AB5*AD5</f>
        <v>-8.5761321390952112</v>
      </c>
      <c r="AF5" s="17">
        <f>AB5^2</f>
        <v>6.9646235889960186</v>
      </c>
      <c r="AG5" s="18">
        <f>AD5^2</f>
        <v>10.560519391662393</v>
      </c>
    </row>
    <row r="6" spans="1:33" x14ac:dyDescent="0.25">
      <c r="A6" s="17">
        <v>2</v>
      </c>
      <c r="B6" s="12">
        <v>17</v>
      </c>
      <c r="C6" s="18">
        <f t="shared" ref="C6:C22" si="2">(A6-0.3)/(18+0.4)</f>
        <v>9.2391304347826095E-2</v>
      </c>
      <c r="D6" s="19">
        <f t="shared" ref="D6:D22" si="3">_xlfn.NORM.S.INV(C6)</f>
        <v>-1.3261723710779103</v>
      </c>
      <c r="E6" s="17">
        <f t="shared" ref="E6:E22" si="4">B6*D6</f>
        <v>-22.544930308324474</v>
      </c>
      <c r="F6" s="17">
        <f t="shared" ref="F6:F22" si="5">B6^2</f>
        <v>289</v>
      </c>
      <c r="G6" s="18">
        <f t="shared" ref="G6:G22" si="6">D6^2</f>
        <v>1.7587331578104066</v>
      </c>
      <c r="H6" s="1"/>
      <c r="I6" s="17">
        <v>2</v>
      </c>
      <c r="J6" s="12">
        <v>17</v>
      </c>
      <c r="K6" s="12">
        <f t="shared" ref="K6:K22" si="7">LN(J6)</f>
        <v>2.8332133440562162</v>
      </c>
      <c r="L6" s="18">
        <f t="shared" ref="L6:L22" si="8">(I6-0.3)/(18+0.4)</f>
        <v>9.2391304347826095E-2</v>
      </c>
      <c r="M6" s="19">
        <f t="shared" ref="M6:M22" si="9">_xlfn.NORM.S.INV(L6)</f>
        <v>-1.3261723710779103</v>
      </c>
      <c r="N6" s="17">
        <f t="shared" ref="N6:N22" si="10">K6*M6</f>
        <v>-3.7573292582566076</v>
      </c>
      <c r="O6" s="17">
        <f t="shared" ref="O6:O22" si="11">K6^2</f>
        <v>8.0270978529382067</v>
      </c>
      <c r="P6" s="18">
        <f t="shared" ref="P6:P22" si="12">M6^2</f>
        <v>1.7587331578104066</v>
      </c>
      <c r="R6" s="17">
        <v>2</v>
      </c>
      <c r="S6" s="12">
        <v>17</v>
      </c>
      <c r="T6" s="18">
        <f t="shared" si="0"/>
        <v>9.2391304347826095E-2</v>
      </c>
      <c r="U6" s="18">
        <f t="shared" ref="U6:U22" si="13">LN((1/(1-T6)))</f>
        <v>9.6941945192230539E-2</v>
      </c>
      <c r="V6" s="17">
        <f t="shared" ref="V6:V22" si="14">S6*U6</f>
        <v>1.648013068267919</v>
      </c>
      <c r="W6" s="17">
        <f t="shared" ref="W6:W22" si="15">S6^2</f>
        <v>289</v>
      </c>
      <c r="X6" s="18">
        <f t="shared" ref="X6:X22" si="16">U6^2</f>
        <v>9.3977407376534296E-3</v>
      </c>
      <c r="Z6" s="17">
        <v>2</v>
      </c>
      <c r="AA6" s="12">
        <v>17</v>
      </c>
      <c r="AB6" s="12">
        <f t="shared" ref="AB6:AB22" si="17">LN(AA6)</f>
        <v>2.8332133440562162</v>
      </c>
      <c r="AC6" s="18">
        <f t="shared" si="1"/>
        <v>9.2391304347826095E-2</v>
      </c>
      <c r="AD6" s="18">
        <f t="shared" ref="AD6:AD22" si="18">LN(LN((1/(1-AC6))))</f>
        <v>-2.333642982826154</v>
      </c>
      <c r="AE6" s="17">
        <f t="shared" ref="AE6:AE22" si="19">AB6*AD6</f>
        <v>-6.6117084392062111</v>
      </c>
      <c r="AF6" s="17">
        <f t="shared" ref="AF6:AF22" si="20">AB6^2</f>
        <v>8.0270978529382067</v>
      </c>
      <c r="AG6" s="18">
        <f t="shared" ref="AG6:AG22" si="21">AD6^2</f>
        <v>5.4458895712937494</v>
      </c>
    </row>
    <row r="7" spans="1:33" x14ac:dyDescent="0.25">
      <c r="A7" s="17">
        <v>3</v>
      </c>
      <c r="B7" s="12">
        <v>22</v>
      </c>
      <c r="C7" s="18">
        <f t="shared" si="2"/>
        <v>0.14673913043478262</v>
      </c>
      <c r="D7" s="19">
        <f t="shared" si="3"/>
        <v>-1.0505218274200787</v>
      </c>
      <c r="E7" s="17">
        <f t="shared" si="4"/>
        <v>-23.111480203241733</v>
      </c>
      <c r="F7" s="17">
        <f t="shared" si="5"/>
        <v>484</v>
      </c>
      <c r="G7" s="18">
        <f t="shared" si="6"/>
        <v>1.1035961098860216</v>
      </c>
      <c r="H7" s="1"/>
      <c r="I7" s="17">
        <v>3</v>
      </c>
      <c r="J7" s="12">
        <v>22</v>
      </c>
      <c r="K7" s="12">
        <f t="shared" si="7"/>
        <v>3.0910424533583161</v>
      </c>
      <c r="L7" s="18">
        <f t="shared" si="8"/>
        <v>0.14673913043478262</v>
      </c>
      <c r="M7" s="19">
        <f t="shared" si="9"/>
        <v>-1.0505218274200787</v>
      </c>
      <c r="N7" s="17">
        <f t="shared" si="10"/>
        <v>-3.2472075667350215</v>
      </c>
      <c r="O7" s="17">
        <f t="shared" si="11"/>
        <v>9.5545434484633969</v>
      </c>
      <c r="P7" s="18">
        <f t="shared" si="12"/>
        <v>1.1035961098860216</v>
      </c>
      <c r="R7" s="17">
        <v>3</v>
      </c>
      <c r="S7" s="12">
        <v>22</v>
      </c>
      <c r="T7" s="18">
        <f t="shared" si="0"/>
        <v>0.14673913043478262</v>
      </c>
      <c r="U7" s="18">
        <f t="shared" si="13"/>
        <v>0.15868995226067753</v>
      </c>
      <c r="V7" s="17">
        <f t="shared" si="14"/>
        <v>3.4911789497349055</v>
      </c>
      <c r="W7" s="17">
        <f t="shared" si="15"/>
        <v>484</v>
      </c>
      <c r="X7" s="18">
        <f t="shared" si="16"/>
        <v>2.5182500948496115E-2</v>
      </c>
      <c r="Z7" s="17">
        <v>3</v>
      </c>
      <c r="AA7" s="12">
        <v>22</v>
      </c>
      <c r="AB7" s="12">
        <f t="shared" si="17"/>
        <v>3.0910424533583161</v>
      </c>
      <c r="AC7" s="18">
        <f t="shared" si="1"/>
        <v>0.14673913043478262</v>
      </c>
      <c r="AD7" s="18">
        <f t="shared" si="18"/>
        <v>-1.8408029662412739</v>
      </c>
      <c r="AE7" s="17">
        <f t="shared" si="19"/>
        <v>-5.690000116919693</v>
      </c>
      <c r="AF7" s="17">
        <f t="shared" si="20"/>
        <v>9.5545434484633969</v>
      </c>
      <c r="AG7" s="18">
        <f t="shared" si="21"/>
        <v>3.3885555605226725</v>
      </c>
    </row>
    <row r="8" spans="1:33" x14ac:dyDescent="0.25">
      <c r="A8" s="17">
        <v>4</v>
      </c>
      <c r="B8" s="12">
        <v>22</v>
      </c>
      <c r="C8" s="18">
        <f t="shared" si="2"/>
        <v>0.20108695652173916</v>
      </c>
      <c r="D8" s="19">
        <f t="shared" si="3"/>
        <v>-0.83774503776439813</v>
      </c>
      <c r="E8" s="17">
        <f t="shared" si="4"/>
        <v>-18.430390830816759</v>
      </c>
      <c r="F8" s="17">
        <f t="shared" si="5"/>
        <v>484</v>
      </c>
      <c r="G8" s="18">
        <f t="shared" si="6"/>
        <v>0.70181674829887286</v>
      </c>
      <c r="H8" s="1"/>
      <c r="I8" s="17">
        <v>4</v>
      </c>
      <c r="J8" s="12">
        <v>22</v>
      </c>
      <c r="K8" s="12">
        <f t="shared" si="7"/>
        <v>3.0910424533583161</v>
      </c>
      <c r="L8" s="18">
        <f t="shared" si="8"/>
        <v>0.20108695652173916</v>
      </c>
      <c r="M8" s="19">
        <f t="shared" si="9"/>
        <v>-0.83774503776439813</v>
      </c>
      <c r="N8" s="17">
        <f t="shared" si="10"/>
        <v>-2.5895054768200203</v>
      </c>
      <c r="O8" s="17">
        <f t="shared" si="11"/>
        <v>9.5545434484633969</v>
      </c>
      <c r="P8" s="18">
        <f t="shared" si="12"/>
        <v>0.70181674829887286</v>
      </c>
      <c r="R8" s="17">
        <v>4</v>
      </c>
      <c r="S8" s="12">
        <v>22</v>
      </c>
      <c r="T8" s="18">
        <f t="shared" si="0"/>
        <v>0.20108695652173916</v>
      </c>
      <c r="U8" s="18">
        <f t="shared" si="13"/>
        <v>0.22450317083024937</v>
      </c>
      <c r="V8" s="17">
        <f t="shared" si="14"/>
        <v>4.9390697582654859</v>
      </c>
      <c r="W8" s="17">
        <f t="shared" si="15"/>
        <v>484</v>
      </c>
      <c r="X8" s="18">
        <f t="shared" si="16"/>
        <v>5.0401673712836131E-2</v>
      </c>
      <c r="Z8" s="17">
        <v>4</v>
      </c>
      <c r="AA8" s="12">
        <v>22</v>
      </c>
      <c r="AB8" s="12">
        <f t="shared" si="17"/>
        <v>3.0910424533583161</v>
      </c>
      <c r="AC8" s="18">
        <f t="shared" si="1"/>
        <v>0.20108695652173916</v>
      </c>
      <c r="AD8" s="18">
        <f t="shared" si="18"/>
        <v>-1.4938654479340943</v>
      </c>
      <c r="AE8" s="17">
        <f t="shared" si="19"/>
        <v>-4.6176015191694226</v>
      </c>
      <c r="AF8" s="17">
        <f t="shared" si="20"/>
        <v>9.5545434484633969</v>
      </c>
      <c r="AG8" s="18">
        <f t="shared" si="21"/>
        <v>2.2316339765313322</v>
      </c>
    </row>
    <row r="9" spans="1:33" x14ac:dyDescent="0.25">
      <c r="A9" s="17">
        <v>5</v>
      </c>
      <c r="B9" s="12">
        <v>23</v>
      </c>
      <c r="C9" s="18">
        <f t="shared" si="2"/>
        <v>0.25543478260869568</v>
      </c>
      <c r="D9" s="19">
        <f t="shared" si="3"/>
        <v>-0.65748429617919724</v>
      </c>
      <c r="E9" s="17">
        <f t="shared" si="4"/>
        <v>-15.122138812121536</v>
      </c>
      <c r="F9" s="17">
        <f t="shared" si="5"/>
        <v>529</v>
      </c>
      <c r="G9" s="18">
        <f t="shared" si="6"/>
        <v>0.43228559972225433</v>
      </c>
      <c r="H9" s="1"/>
      <c r="I9" s="17">
        <v>5</v>
      </c>
      <c r="J9" s="12">
        <v>23</v>
      </c>
      <c r="K9" s="12">
        <f t="shared" si="7"/>
        <v>3.1354942159291497</v>
      </c>
      <c r="L9" s="18">
        <f t="shared" si="8"/>
        <v>0.25543478260869568</v>
      </c>
      <c r="M9" s="19">
        <f t="shared" si="9"/>
        <v>-0.65748429617919724</v>
      </c>
      <c r="N9" s="17">
        <f t="shared" si="10"/>
        <v>-2.0615382077341207</v>
      </c>
      <c r="O9" s="17">
        <f t="shared" si="11"/>
        <v>9.8313239781251536</v>
      </c>
      <c r="P9" s="18">
        <f t="shared" si="12"/>
        <v>0.43228559972225433</v>
      </c>
      <c r="R9" s="17">
        <v>5</v>
      </c>
      <c r="S9" s="12">
        <v>23</v>
      </c>
      <c r="T9" s="18">
        <f t="shared" si="0"/>
        <v>0.25543478260869568</v>
      </c>
      <c r="U9" s="18">
        <f t="shared" si="13"/>
        <v>0.29495483178086079</v>
      </c>
      <c r="V9" s="17">
        <f t="shared" si="14"/>
        <v>6.7839611309597982</v>
      </c>
      <c r="W9" s="17">
        <f t="shared" si="15"/>
        <v>529</v>
      </c>
      <c r="X9" s="18">
        <f t="shared" si="16"/>
        <v>8.6998352790875894E-2</v>
      </c>
      <c r="Z9" s="17">
        <v>5</v>
      </c>
      <c r="AA9" s="12">
        <v>23</v>
      </c>
      <c r="AB9" s="12">
        <f t="shared" si="17"/>
        <v>3.1354942159291497</v>
      </c>
      <c r="AC9" s="18">
        <f t="shared" si="1"/>
        <v>0.25543478260869568</v>
      </c>
      <c r="AD9" s="18">
        <f t="shared" si="18"/>
        <v>-1.2209330469725006</v>
      </c>
      <c r="AE9" s="17">
        <f t="shared" si="19"/>
        <v>-3.8282285068190283</v>
      </c>
      <c r="AF9" s="17">
        <f t="shared" si="20"/>
        <v>9.8313239781251536</v>
      </c>
      <c r="AG9" s="18">
        <f t="shared" si="21"/>
        <v>1.4906775051895544</v>
      </c>
    </row>
    <row r="10" spans="1:33" x14ac:dyDescent="0.25">
      <c r="A10" s="17">
        <v>6</v>
      </c>
      <c r="B10" s="12">
        <v>24</v>
      </c>
      <c r="C10" s="18">
        <f t="shared" si="2"/>
        <v>0.30978260869565222</v>
      </c>
      <c r="D10" s="19">
        <f t="shared" si="3"/>
        <v>-0.49646664136223162</v>
      </c>
      <c r="E10" s="17">
        <f t="shared" si="4"/>
        <v>-11.915199392693559</v>
      </c>
      <c r="F10" s="17">
        <f t="shared" si="5"/>
        <v>576</v>
      </c>
      <c r="G10" s="18">
        <f t="shared" si="6"/>
        <v>0.24647912598549471</v>
      </c>
      <c r="H10" s="1"/>
      <c r="I10" s="17">
        <v>6</v>
      </c>
      <c r="J10" s="12">
        <v>24</v>
      </c>
      <c r="K10" s="12">
        <f t="shared" si="7"/>
        <v>3.1780538303479458</v>
      </c>
      <c r="L10" s="18">
        <f t="shared" si="8"/>
        <v>0.30978260869565222</v>
      </c>
      <c r="M10" s="19">
        <f t="shared" si="9"/>
        <v>-0.49646664136223162</v>
      </c>
      <c r="N10" s="17">
        <f t="shared" si="10"/>
        <v>-1.57779771122122</v>
      </c>
      <c r="O10" s="17">
        <f t="shared" si="11"/>
        <v>10.100026148589249</v>
      </c>
      <c r="P10" s="18">
        <f t="shared" si="12"/>
        <v>0.24647912598549471</v>
      </c>
      <c r="R10" s="17">
        <v>6</v>
      </c>
      <c r="S10" s="12">
        <v>24</v>
      </c>
      <c r="T10" s="18">
        <f t="shared" si="0"/>
        <v>0.30978260869565222</v>
      </c>
      <c r="U10" s="18">
        <f t="shared" si="13"/>
        <v>0.37074867115039439</v>
      </c>
      <c r="V10" s="17">
        <f t="shared" si="14"/>
        <v>8.897968107609465</v>
      </c>
      <c r="W10" s="17">
        <f t="shared" si="15"/>
        <v>576</v>
      </c>
      <c r="X10" s="18">
        <f t="shared" si="16"/>
        <v>0.13745457715978329</v>
      </c>
      <c r="Z10" s="17">
        <v>6</v>
      </c>
      <c r="AA10" s="12">
        <v>24</v>
      </c>
      <c r="AB10" s="12">
        <f t="shared" si="17"/>
        <v>3.1780538303479458</v>
      </c>
      <c r="AC10" s="18">
        <f t="shared" si="1"/>
        <v>0.30978260869565222</v>
      </c>
      <c r="AD10" s="18">
        <f t="shared" si="18"/>
        <v>-0.99223088219062838</v>
      </c>
      <c r="AE10" s="17">
        <f t="shared" si="19"/>
        <v>-3.1533631557354478</v>
      </c>
      <c r="AF10" s="17">
        <f t="shared" si="20"/>
        <v>10.100026148589249</v>
      </c>
      <c r="AG10" s="18">
        <f t="shared" si="21"/>
        <v>0.98452212357279267</v>
      </c>
    </row>
    <row r="11" spans="1:33" x14ac:dyDescent="0.25">
      <c r="A11" s="17">
        <v>7</v>
      </c>
      <c r="B11" s="12">
        <v>28</v>
      </c>
      <c r="C11" s="18">
        <f t="shared" si="2"/>
        <v>0.36413043478260876</v>
      </c>
      <c r="D11" s="19">
        <f t="shared" si="3"/>
        <v>-0.34743989020619492</v>
      </c>
      <c r="E11" s="17">
        <f t="shared" si="4"/>
        <v>-9.7283169257734574</v>
      </c>
      <c r="F11" s="17">
        <f t="shared" si="5"/>
        <v>784</v>
      </c>
      <c r="G11" s="18">
        <f t="shared" si="6"/>
        <v>0.12071447730649278</v>
      </c>
      <c r="H11" s="1"/>
      <c r="I11" s="17">
        <v>7</v>
      </c>
      <c r="J11" s="12">
        <v>28</v>
      </c>
      <c r="K11" s="12">
        <f t="shared" si="7"/>
        <v>3.3322045101752038</v>
      </c>
      <c r="L11" s="18">
        <f t="shared" si="8"/>
        <v>0.36413043478260876</v>
      </c>
      <c r="M11" s="19">
        <f t="shared" si="9"/>
        <v>-0.34743989020619492</v>
      </c>
      <c r="N11" s="17">
        <f t="shared" si="10"/>
        <v>-1.1577407691598602</v>
      </c>
      <c r="O11" s="17">
        <f t="shared" si="11"/>
        <v>11.10358689763197</v>
      </c>
      <c r="P11" s="18">
        <f t="shared" si="12"/>
        <v>0.12071447730649278</v>
      </c>
      <c r="R11" s="17">
        <v>7</v>
      </c>
      <c r="S11" s="12">
        <v>28</v>
      </c>
      <c r="T11" s="18">
        <f t="shared" si="0"/>
        <v>0.36413043478260876</v>
      </c>
      <c r="U11" s="18">
        <f t="shared" si="13"/>
        <v>0.45276182281122962</v>
      </c>
      <c r="V11" s="17">
        <f t="shared" si="14"/>
        <v>12.67733103871443</v>
      </c>
      <c r="W11" s="17">
        <f t="shared" si="15"/>
        <v>784</v>
      </c>
      <c r="X11" s="18">
        <f t="shared" si="16"/>
        <v>0.20499326819534727</v>
      </c>
      <c r="Z11" s="17">
        <v>7</v>
      </c>
      <c r="AA11" s="12">
        <v>28</v>
      </c>
      <c r="AB11" s="12">
        <f t="shared" si="17"/>
        <v>3.3322045101752038</v>
      </c>
      <c r="AC11" s="18">
        <f t="shared" si="1"/>
        <v>0.36413043478260876</v>
      </c>
      <c r="AD11" s="18">
        <f t="shared" si="18"/>
        <v>-0.79238906922719343</v>
      </c>
      <c r="AE11" s="17">
        <f t="shared" si="19"/>
        <v>-2.6404024302923856</v>
      </c>
      <c r="AF11" s="17">
        <f t="shared" si="20"/>
        <v>11.10358689763197</v>
      </c>
      <c r="AG11" s="18">
        <f t="shared" si="21"/>
        <v>0.62788043703073793</v>
      </c>
    </row>
    <row r="12" spans="1:33" x14ac:dyDescent="0.25">
      <c r="A12" s="17">
        <v>8</v>
      </c>
      <c r="B12" s="12">
        <v>30</v>
      </c>
      <c r="C12" s="18">
        <f t="shared" si="2"/>
        <v>0.41847826086956524</v>
      </c>
      <c r="D12" s="19">
        <f t="shared" si="3"/>
        <v>-0.20578799162684658</v>
      </c>
      <c r="E12" s="17">
        <f t="shared" si="4"/>
        <v>-6.1736397488053978</v>
      </c>
      <c r="F12" s="17">
        <f t="shared" si="5"/>
        <v>900</v>
      </c>
      <c r="G12" s="18">
        <f t="shared" si="6"/>
        <v>4.2348697497811075E-2</v>
      </c>
      <c r="H12" s="1"/>
      <c r="I12" s="17">
        <v>8</v>
      </c>
      <c r="J12" s="12">
        <v>30</v>
      </c>
      <c r="K12" s="12">
        <f t="shared" si="7"/>
        <v>3.4011973816621555</v>
      </c>
      <c r="L12" s="18">
        <f t="shared" si="8"/>
        <v>0.41847826086956524</v>
      </c>
      <c r="M12" s="19">
        <f t="shared" si="9"/>
        <v>-0.20578799162684658</v>
      </c>
      <c r="N12" s="17">
        <f t="shared" si="10"/>
        <v>-0.69992557829874413</v>
      </c>
      <c r="O12" s="17">
        <f t="shared" si="11"/>
        <v>11.568143629025503</v>
      </c>
      <c r="P12" s="18">
        <f t="shared" si="12"/>
        <v>4.2348697497811075E-2</v>
      </c>
      <c r="R12" s="17">
        <v>8</v>
      </c>
      <c r="S12" s="12">
        <v>30</v>
      </c>
      <c r="T12" s="18">
        <f t="shared" si="0"/>
        <v>0.41847826086956524</v>
      </c>
      <c r="U12" s="18">
        <f t="shared" si="13"/>
        <v>0.54210692314707942</v>
      </c>
      <c r="V12" s="17">
        <f t="shared" si="14"/>
        <v>16.263207694412383</v>
      </c>
      <c r="W12" s="17">
        <f t="shared" si="15"/>
        <v>900</v>
      </c>
      <c r="X12" s="18">
        <f t="shared" si="16"/>
        <v>0.2938799161239935</v>
      </c>
      <c r="Z12" s="17">
        <v>8</v>
      </c>
      <c r="AA12" s="12">
        <v>30</v>
      </c>
      <c r="AB12" s="12">
        <f t="shared" si="17"/>
        <v>3.4011973816621555</v>
      </c>
      <c r="AC12" s="18">
        <f t="shared" si="1"/>
        <v>0.41847826086956524</v>
      </c>
      <c r="AD12" s="18">
        <f t="shared" si="18"/>
        <v>-0.61229202181956688</v>
      </c>
      <c r="AE12" s="17">
        <f t="shared" si="19"/>
        <v>-2.082526021425338</v>
      </c>
      <c r="AF12" s="17">
        <f t="shared" si="20"/>
        <v>11.568143629025503</v>
      </c>
      <c r="AG12" s="18">
        <f t="shared" si="21"/>
        <v>0.37490151998389298</v>
      </c>
    </row>
    <row r="13" spans="1:33" x14ac:dyDescent="0.25">
      <c r="A13" s="17">
        <v>9</v>
      </c>
      <c r="B13" s="12">
        <v>33</v>
      </c>
      <c r="C13" s="18">
        <f t="shared" si="2"/>
        <v>0.47282608695652173</v>
      </c>
      <c r="D13" s="19">
        <f t="shared" si="3"/>
        <v>-6.8167655899097443E-2</v>
      </c>
      <c r="E13" s="17">
        <f t="shared" si="4"/>
        <v>-2.2495326446702157</v>
      </c>
      <c r="F13" s="17">
        <f t="shared" si="5"/>
        <v>1089</v>
      </c>
      <c r="G13" s="18">
        <f t="shared" si="6"/>
        <v>4.6468293107777541E-3</v>
      </c>
      <c r="H13" s="1"/>
      <c r="I13" s="17">
        <v>9</v>
      </c>
      <c r="J13" s="12">
        <v>33</v>
      </c>
      <c r="K13" s="12">
        <f t="shared" si="7"/>
        <v>3.4965075614664802</v>
      </c>
      <c r="L13" s="18">
        <f t="shared" si="8"/>
        <v>0.47282608695652173</v>
      </c>
      <c r="M13" s="19">
        <f t="shared" si="9"/>
        <v>-6.8167655899097443E-2</v>
      </c>
      <c r="N13" s="17">
        <f t="shared" si="10"/>
        <v>-0.23834872429863932</v>
      </c>
      <c r="O13" s="17">
        <f t="shared" si="11"/>
        <v>12.225565127392272</v>
      </c>
      <c r="P13" s="18">
        <f t="shared" si="12"/>
        <v>4.6468293107777541E-3</v>
      </c>
      <c r="R13" s="17">
        <v>9</v>
      </c>
      <c r="S13" s="12">
        <v>33</v>
      </c>
      <c r="T13" s="18">
        <f t="shared" si="0"/>
        <v>0.47282608695652173</v>
      </c>
      <c r="U13" s="18">
        <f t="shared" si="13"/>
        <v>0.64022477910560271</v>
      </c>
      <c r="V13" s="17">
        <f t="shared" si="14"/>
        <v>21.127417710484888</v>
      </c>
      <c r="W13" s="17">
        <f t="shared" si="15"/>
        <v>1089</v>
      </c>
      <c r="X13" s="18">
        <f t="shared" si="16"/>
        <v>0.40988776778081781</v>
      </c>
      <c r="Z13" s="17">
        <v>9</v>
      </c>
      <c r="AA13" s="12">
        <v>33</v>
      </c>
      <c r="AB13" s="12">
        <f t="shared" si="17"/>
        <v>3.4965075614664802</v>
      </c>
      <c r="AC13" s="18">
        <f t="shared" si="1"/>
        <v>0.47282608695652173</v>
      </c>
      <c r="AD13" s="18">
        <f t="shared" si="18"/>
        <v>-0.44593594693829214</v>
      </c>
      <c r="AE13" s="17">
        <f t="shared" si="19"/>
        <v>-1.5592184103994535</v>
      </c>
      <c r="AF13" s="17">
        <f t="shared" si="20"/>
        <v>12.225565127392272</v>
      </c>
      <c r="AG13" s="18">
        <f t="shared" si="21"/>
        <v>0.1988588687717513</v>
      </c>
    </row>
    <row r="14" spans="1:33" x14ac:dyDescent="0.25">
      <c r="A14" s="17">
        <v>10</v>
      </c>
      <c r="B14" s="12">
        <v>38</v>
      </c>
      <c r="C14" s="18">
        <f t="shared" si="2"/>
        <v>0.52717391304347827</v>
      </c>
      <c r="D14" s="19">
        <f t="shared" si="3"/>
        <v>6.8167655899097443E-2</v>
      </c>
      <c r="E14" s="17">
        <f t="shared" si="4"/>
        <v>2.5903709241657027</v>
      </c>
      <c r="F14" s="17">
        <f t="shared" si="5"/>
        <v>1444</v>
      </c>
      <c r="G14" s="18">
        <f t="shared" si="6"/>
        <v>4.6468293107777541E-3</v>
      </c>
      <c r="H14" s="1"/>
      <c r="I14" s="17">
        <v>10</v>
      </c>
      <c r="J14" s="12">
        <v>38</v>
      </c>
      <c r="K14" s="12">
        <f t="shared" si="7"/>
        <v>3.6375861597263857</v>
      </c>
      <c r="L14" s="18">
        <f t="shared" si="8"/>
        <v>0.52717391304347827</v>
      </c>
      <c r="M14" s="19">
        <f t="shared" si="9"/>
        <v>6.8167655899097443E-2</v>
      </c>
      <c r="N14" s="17">
        <f t="shared" si="10"/>
        <v>0.24796572163954755</v>
      </c>
      <c r="O14" s="17">
        <f t="shared" si="11"/>
        <v>13.232033069432955</v>
      </c>
      <c r="P14" s="18">
        <f t="shared" si="12"/>
        <v>4.6468293107777541E-3</v>
      </c>
      <c r="R14" s="17">
        <v>10</v>
      </c>
      <c r="S14" s="12">
        <v>38</v>
      </c>
      <c r="T14" s="18">
        <f t="shared" si="0"/>
        <v>0.52717391304347827</v>
      </c>
      <c r="U14" s="18">
        <f t="shared" si="13"/>
        <v>0.74902763895440194</v>
      </c>
      <c r="V14" s="17">
        <f t="shared" si="14"/>
        <v>28.463050280267275</v>
      </c>
      <c r="W14" s="17">
        <f t="shared" si="15"/>
        <v>1444</v>
      </c>
      <c r="X14" s="18">
        <f t="shared" si="16"/>
        <v>0.56104240391760596</v>
      </c>
      <c r="Z14" s="17">
        <v>10</v>
      </c>
      <c r="AA14" s="12">
        <v>38</v>
      </c>
      <c r="AB14" s="12">
        <f t="shared" si="17"/>
        <v>3.6375861597263857</v>
      </c>
      <c r="AC14" s="18">
        <f t="shared" si="1"/>
        <v>0.52717391304347827</v>
      </c>
      <c r="AD14" s="18">
        <f t="shared" si="18"/>
        <v>-0.28897939500502434</v>
      </c>
      <c r="AE14" s="17">
        <f t="shared" si="19"/>
        <v>-1.0511874477163807</v>
      </c>
      <c r="AF14" s="17">
        <f t="shared" si="20"/>
        <v>13.232033069432955</v>
      </c>
      <c r="AG14" s="18">
        <f t="shared" si="21"/>
        <v>8.3509090737469885E-2</v>
      </c>
    </row>
    <row r="15" spans="1:33" x14ac:dyDescent="0.25">
      <c r="A15" s="17">
        <v>11</v>
      </c>
      <c r="B15" s="12">
        <v>40</v>
      </c>
      <c r="C15" s="18">
        <f t="shared" si="2"/>
        <v>0.58152173913043481</v>
      </c>
      <c r="D15" s="19">
        <f t="shared" si="3"/>
        <v>0.20578799162684672</v>
      </c>
      <c r="E15" s="17">
        <f t="shared" si="4"/>
        <v>8.2315196650738685</v>
      </c>
      <c r="F15" s="17">
        <f t="shared" si="5"/>
        <v>1600</v>
      </c>
      <c r="G15" s="18">
        <f t="shared" si="6"/>
        <v>4.2348697497811137E-2</v>
      </c>
      <c r="H15" s="1"/>
      <c r="I15" s="17">
        <v>11</v>
      </c>
      <c r="J15" s="12">
        <v>40</v>
      </c>
      <c r="K15" s="12">
        <f t="shared" si="7"/>
        <v>3.6888794541139363</v>
      </c>
      <c r="L15" s="18">
        <f t="shared" si="8"/>
        <v>0.58152173913043481</v>
      </c>
      <c r="M15" s="19">
        <f t="shared" si="9"/>
        <v>0.20578799162684672</v>
      </c>
      <c r="N15" s="17">
        <f t="shared" si="10"/>
        <v>0.75912709421564561</v>
      </c>
      <c r="O15" s="17">
        <f t="shared" si="11"/>
        <v>13.607831626983932</v>
      </c>
      <c r="P15" s="18">
        <f t="shared" si="12"/>
        <v>4.2348697497811137E-2</v>
      </c>
      <c r="R15" s="17">
        <v>11</v>
      </c>
      <c r="S15" s="12">
        <v>40</v>
      </c>
      <c r="T15" s="18">
        <f t="shared" si="0"/>
        <v>0.58152173913043481</v>
      </c>
      <c r="U15" s="18">
        <f t="shared" si="13"/>
        <v>0.87113033575530197</v>
      </c>
      <c r="V15" s="17">
        <f t="shared" si="14"/>
        <v>34.845213430212077</v>
      </c>
      <c r="W15" s="17">
        <f t="shared" si="15"/>
        <v>1600</v>
      </c>
      <c r="X15" s="18">
        <f t="shared" si="16"/>
        <v>0.75886806187314515</v>
      </c>
      <c r="Z15" s="17">
        <v>11</v>
      </c>
      <c r="AA15" s="12">
        <v>40</v>
      </c>
      <c r="AB15" s="12">
        <f t="shared" si="17"/>
        <v>3.6888794541139363</v>
      </c>
      <c r="AC15" s="18">
        <f t="shared" si="1"/>
        <v>0.58152173913043481</v>
      </c>
      <c r="AD15" s="18">
        <f t="shared" si="18"/>
        <v>-0.13796367411057031</v>
      </c>
      <c r="AE15" s="17">
        <f t="shared" si="19"/>
        <v>-0.50893136284055362</v>
      </c>
      <c r="AF15" s="17">
        <f t="shared" si="20"/>
        <v>13.607831626983932</v>
      </c>
      <c r="AG15" s="18">
        <f t="shared" si="21"/>
        <v>1.9033975374087648E-2</v>
      </c>
    </row>
    <row r="16" spans="1:33" x14ac:dyDescent="0.25">
      <c r="A16" s="17">
        <v>12</v>
      </c>
      <c r="B16" s="12">
        <v>43</v>
      </c>
      <c r="C16" s="18">
        <f t="shared" si="2"/>
        <v>0.63586956521739135</v>
      </c>
      <c r="D16" s="19">
        <f t="shared" si="3"/>
        <v>0.3474398902061952</v>
      </c>
      <c r="E16" s="17">
        <f t="shared" si="4"/>
        <v>14.939915278866394</v>
      </c>
      <c r="F16" s="17">
        <f t="shared" si="5"/>
        <v>1849</v>
      </c>
      <c r="G16" s="18">
        <f t="shared" si="6"/>
        <v>0.12071447730649297</v>
      </c>
      <c r="H16" s="1"/>
      <c r="I16" s="17">
        <v>12</v>
      </c>
      <c r="J16" s="12">
        <v>43</v>
      </c>
      <c r="K16" s="12">
        <f t="shared" si="7"/>
        <v>3.7612001156935624</v>
      </c>
      <c r="L16" s="18">
        <f t="shared" si="8"/>
        <v>0.63586956521739135</v>
      </c>
      <c r="M16" s="19">
        <f t="shared" si="9"/>
        <v>0.3474398902061952</v>
      </c>
      <c r="N16" s="17">
        <f t="shared" si="10"/>
        <v>1.3067909552401</v>
      </c>
      <c r="O16" s="17">
        <f t="shared" si="11"/>
        <v>14.146626310293268</v>
      </c>
      <c r="P16" s="18">
        <f t="shared" si="12"/>
        <v>0.12071447730649297</v>
      </c>
      <c r="R16" s="17">
        <v>12</v>
      </c>
      <c r="S16" s="12">
        <v>43</v>
      </c>
      <c r="T16" s="18">
        <f t="shared" si="0"/>
        <v>0.63586956521739135</v>
      </c>
      <c r="U16" s="18">
        <f t="shared" si="13"/>
        <v>1.0102431382180197</v>
      </c>
      <c r="V16" s="17">
        <f t="shared" si="14"/>
        <v>43.440454943374846</v>
      </c>
      <c r="W16" s="17">
        <f t="shared" si="15"/>
        <v>1849</v>
      </c>
      <c r="X16" s="18">
        <f t="shared" si="16"/>
        <v>1.020591198316593</v>
      </c>
      <c r="Z16" s="17">
        <v>12</v>
      </c>
      <c r="AA16" s="12">
        <v>43</v>
      </c>
      <c r="AB16" s="12">
        <f t="shared" si="17"/>
        <v>3.7612001156935624</v>
      </c>
      <c r="AC16" s="18">
        <f t="shared" si="1"/>
        <v>0.63586956521739135</v>
      </c>
      <c r="AD16" s="18">
        <f t="shared" si="18"/>
        <v>1.0191032791062609E-2</v>
      </c>
      <c r="AE16" s="17">
        <f t="shared" si="19"/>
        <v>3.8330513712781573E-2</v>
      </c>
      <c r="AF16" s="17">
        <f t="shared" si="20"/>
        <v>14.146626310293268</v>
      </c>
      <c r="AG16" s="18">
        <f t="shared" si="21"/>
        <v>1.0385714934851334E-4</v>
      </c>
    </row>
    <row r="17" spans="1:33" x14ac:dyDescent="0.25">
      <c r="A17" s="17">
        <v>13</v>
      </c>
      <c r="B17" s="12">
        <v>47</v>
      </c>
      <c r="C17" s="18">
        <f t="shared" si="2"/>
        <v>0.69021739130434789</v>
      </c>
      <c r="D17" s="19">
        <f t="shared" si="3"/>
        <v>0.49646664136223201</v>
      </c>
      <c r="E17" s="17">
        <f t="shared" si="4"/>
        <v>23.333932144024903</v>
      </c>
      <c r="F17" s="17">
        <f t="shared" si="5"/>
        <v>2209</v>
      </c>
      <c r="G17" s="18">
        <f t="shared" si="6"/>
        <v>0.2464791259854951</v>
      </c>
      <c r="H17" s="1"/>
      <c r="I17" s="17">
        <v>13</v>
      </c>
      <c r="J17" s="12">
        <v>47</v>
      </c>
      <c r="K17" s="12">
        <f t="shared" si="7"/>
        <v>3.8501476017100584</v>
      </c>
      <c r="L17" s="18">
        <f t="shared" si="8"/>
        <v>0.69021739130434789</v>
      </c>
      <c r="M17" s="19">
        <f t="shared" si="9"/>
        <v>0.49646664136223201</v>
      </c>
      <c r="N17" s="17">
        <f t="shared" si="10"/>
        <v>1.9114698485698454</v>
      </c>
      <c r="O17" s="17">
        <f t="shared" si="11"/>
        <v>14.823636554953715</v>
      </c>
      <c r="P17" s="18">
        <f t="shared" si="12"/>
        <v>0.2464791259854951</v>
      </c>
      <c r="R17" s="17">
        <v>13</v>
      </c>
      <c r="S17" s="12">
        <v>47</v>
      </c>
      <c r="T17" s="18">
        <f t="shared" si="0"/>
        <v>0.69021739130434789</v>
      </c>
      <c r="U17" s="18">
        <f t="shared" si="13"/>
        <v>1.1718844897744356</v>
      </c>
      <c r="V17" s="17">
        <f t="shared" si="14"/>
        <v>55.078571019398474</v>
      </c>
      <c r="W17" s="17">
        <f t="shared" si="15"/>
        <v>2209</v>
      </c>
      <c r="X17" s="18">
        <f t="shared" si="16"/>
        <v>1.3733132573738893</v>
      </c>
      <c r="Z17" s="17">
        <v>13</v>
      </c>
      <c r="AA17" s="12">
        <v>47</v>
      </c>
      <c r="AB17" s="12">
        <f t="shared" si="17"/>
        <v>3.8501476017100584</v>
      </c>
      <c r="AC17" s="18">
        <f t="shared" si="1"/>
        <v>0.69021739130434789</v>
      </c>
      <c r="AD17" s="18">
        <f t="shared" si="18"/>
        <v>0.15861312808470215</v>
      </c>
      <c r="AE17" s="17">
        <f t="shared" si="19"/>
        <v>0.61068395469504633</v>
      </c>
      <c r="AF17" s="17">
        <f t="shared" si="20"/>
        <v>14.823636554953715</v>
      </c>
      <c r="AG17" s="18">
        <f t="shared" si="21"/>
        <v>2.5158124400814132E-2</v>
      </c>
    </row>
    <row r="18" spans="1:33" x14ac:dyDescent="0.25">
      <c r="A18" s="17">
        <v>14</v>
      </c>
      <c r="B18" s="12">
        <v>53</v>
      </c>
      <c r="C18" s="18">
        <f t="shared" si="2"/>
        <v>0.74456521739130432</v>
      </c>
      <c r="D18" s="19">
        <f t="shared" si="3"/>
        <v>0.65748429617919724</v>
      </c>
      <c r="E18" s="17">
        <f t="shared" si="4"/>
        <v>34.846667697497452</v>
      </c>
      <c r="F18" s="17">
        <f t="shared" si="5"/>
        <v>2809</v>
      </c>
      <c r="G18" s="18">
        <f t="shared" si="6"/>
        <v>0.43228559972225433</v>
      </c>
      <c r="H18" s="1"/>
      <c r="I18" s="17">
        <v>14</v>
      </c>
      <c r="J18" s="12">
        <v>53</v>
      </c>
      <c r="K18" s="12">
        <f t="shared" si="7"/>
        <v>3.970291913552122</v>
      </c>
      <c r="L18" s="18">
        <f t="shared" si="8"/>
        <v>0.74456521739130432</v>
      </c>
      <c r="M18" s="19">
        <f t="shared" si="9"/>
        <v>0.65748429617919724</v>
      </c>
      <c r="N18" s="17">
        <f t="shared" si="10"/>
        <v>2.610404584407775</v>
      </c>
      <c r="O18" s="17">
        <f t="shared" si="11"/>
        <v>15.76321787881737</v>
      </c>
      <c r="P18" s="18">
        <f t="shared" si="12"/>
        <v>0.43228559972225433</v>
      </c>
      <c r="R18" s="17">
        <v>14</v>
      </c>
      <c r="S18" s="12">
        <v>53</v>
      </c>
      <c r="T18" s="18">
        <f t="shared" si="0"/>
        <v>0.74456521739130432</v>
      </c>
      <c r="U18" s="18">
        <f t="shared" si="13"/>
        <v>1.364788155898927</v>
      </c>
      <c r="V18" s="17">
        <f t="shared" si="14"/>
        <v>72.333772262643137</v>
      </c>
      <c r="W18" s="17">
        <f t="shared" si="15"/>
        <v>2809</v>
      </c>
      <c r="X18" s="18">
        <f t="shared" si="16"/>
        <v>1.8626467104819939</v>
      </c>
      <c r="Z18" s="17">
        <v>14</v>
      </c>
      <c r="AA18" s="12">
        <v>53</v>
      </c>
      <c r="AB18" s="12">
        <f t="shared" si="17"/>
        <v>3.970291913552122</v>
      </c>
      <c r="AC18" s="18">
        <f t="shared" si="1"/>
        <v>0.74456521739130432</v>
      </c>
      <c r="AD18" s="18">
        <f t="shared" si="18"/>
        <v>0.31099921944895698</v>
      </c>
      <c r="AE18" s="17">
        <f t="shared" si="19"/>
        <v>1.2347576860992158</v>
      </c>
      <c r="AF18" s="17">
        <f t="shared" si="20"/>
        <v>15.76321787881737</v>
      </c>
      <c r="AG18" s="18">
        <f t="shared" si="21"/>
        <v>9.6720514497860496E-2</v>
      </c>
    </row>
    <row r="19" spans="1:33" x14ac:dyDescent="0.25">
      <c r="A19" s="17">
        <v>15</v>
      </c>
      <c r="B19" s="12">
        <v>55</v>
      </c>
      <c r="C19" s="18">
        <f t="shared" si="2"/>
        <v>0.79891304347826086</v>
      </c>
      <c r="D19" s="19">
        <f t="shared" si="3"/>
        <v>0.83774503776439813</v>
      </c>
      <c r="E19" s="17">
        <f t="shared" si="4"/>
        <v>46.075977077041898</v>
      </c>
      <c r="F19" s="17">
        <f t="shared" si="5"/>
        <v>3025</v>
      </c>
      <c r="G19" s="18">
        <f t="shared" si="6"/>
        <v>0.70181674829887286</v>
      </c>
      <c r="H19" s="1"/>
      <c r="I19" s="17">
        <v>15</v>
      </c>
      <c r="J19" s="12">
        <v>55</v>
      </c>
      <c r="K19" s="12">
        <f t="shared" si="7"/>
        <v>4.0073331852324712</v>
      </c>
      <c r="L19" s="18">
        <f t="shared" si="8"/>
        <v>0.79891304347826086</v>
      </c>
      <c r="M19" s="19">
        <f t="shared" si="9"/>
        <v>0.83774503776439813</v>
      </c>
      <c r="N19" s="17">
        <f t="shared" si="10"/>
        <v>3.3571234905971026</v>
      </c>
      <c r="O19" s="17">
        <f t="shared" si="11"/>
        <v>16.058719257465423</v>
      </c>
      <c r="P19" s="18">
        <f t="shared" si="12"/>
        <v>0.70181674829887286</v>
      </c>
      <c r="R19" s="17">
        <v>15</v>
      </c>
      <c r="S19" s="12">
        <v>55</v>
      </c>
      <c r="T19" s="18">
        <f t="shared" si="0"/>
        <v>0.79891304347826086</v>
      </c>
      <c r="U19" s="18">
        <f t="shared" si="13"/>
        <v>1.6040178449647611</v>
      </c>
      <c r="V19" s="17">
        <f t="shared" si="14"/>
        <v>88.220981473061855</v>
      </c>
      <c r="W19" s="17">
        <f t="shared" si="15"/>
        <v>3025</v>
      </c>
      <c r="X19" s="18">
        <f t="shared" si="16"/>
        <v>2.5728732469653961</v>
      </c>
      <c r="Z19" s="17">
        <v>15</v>
      </c>
      <c r="AA19" s="12">
        <v>55</v>
      </c>
      <c r="AB19" s="12">
        <f t="shared" si="17"/>
        <v>4.0073331852324712</v>
      </c>
      <c r="AC19" s="18">
        <f t="shared" si="1"/>
        <v>0.79891304347826086</v>
      </c>
      <c r="AD19" s="18">
        <f t="shared" si="18"/>
        <v>0.47251163467218849</v>
      </c>
      <c r="AE19" s="17">
        <f t="shared" si="19"/>
        <v>1.8935115540303029</v>
      </c>
      <c r="AF19" s="17">
        <f t="shared" si="20"/>
        <v>16.058719257465423</v>
      </c>
      <c r="AG19" s="18">
        <f t="shared" si="21"/>
        <v>0.22326724490058372</v>
      </c>
    </row>
    <row r="20" spans="1:33" x14ac:dyDescent="0.25">
      <c r="A20" s="17">
        <v>16</v>
      </c>
      <c r="B20" s="12">
        <v>62</v>
      </c>
      <c r="C20" s="18">
        <f t="shared" si="2"/>
        <v>0.85326086956521741</v>
      </c>
      <c r="D20" s="19">
        <f t="shared" si="3"/>
        <v>1.0505218274200787</v>
      </c>
      <c r="E20" s="17">
        <f t="shared" si="4"/>
        <v>65.132353300044883</v>
      </c>
      <c r="F20" s="17">
        <f t="shared" si="5"/>
        <v>3844</v>
      </c>
      <c r="G20" s="18">
        <f t="shared" si="6"/>
        <v>1.1035961098860216</v>
      </c>
      <c r="H20" s="1"/>
      <c r="I20" s="17">
        <v>16</v>
      </c>
      <c r="J20" s="12">
        <v>62</v>
      </c>
      <c r="K20" s="12">
        <f t="shared" si="7"/>
        <v>4.1271343850450917</v>
      </c>
      <c r="L20" s="18">
        <f t="shared" si="8"/>
        <v>0.85326086956521741</v>
      </c>
      <c r="M20" s="19">
        <f t="shared" si="9"/>
        <v>1.0505218274200787</v>
      </c>
      <c r="N20" s="17">
        <f t="shared" si="10"/>
        <v>4.3356447561858129</v>
      </c>
      <c r="O20" s="17">
        <f t="shared" si="11"/>
        <v>17.033238232221528</v>
      </c>
      <c r="P20" s="18">
        <f t="shared" si="12"/>
        <v>1.1035961098860216</v>
      </c>
      <c r="R20" s="17">
        <v>16</v>
      </c>
      <c r="S20" s="12">
        <v>62</v>
      </c>
      <c r="T20" s="18">
        <f t="shared" si="0"/>
        <v>0.85326086956521741</v>
      </c>
      <c r="U20" s="18">
        <f t="shared" si="13"/>
        <v>1.9190988916046567</v>
      </c>
      <c r="V20" s="17">
        <f t="shared" si="14"/>
        <v>118.98413127948872</v>
      </c>
      <c r="W20" s="17">
        <f t="shared" si="15"/>
        <v>3844</v>
      </c>
      <c r="X20" s="18">
        <f t="shared" si="16"/>
        <v>3.682940555758222</v>
      </c>
      <c r="Z20" s="17">
        <v>16</v>
      </c>
      <c r="AA20" s="12">
        <v>62</v>
      </c>
      <c r="AB20" s="12">
        <f t="shared" si="17"/>
        <v>4.1271343850450917</v>
      </c>
      <c r="AC20" s="18">
        <f t="shared" si="1"/>
        <v>0.85326086956521741</v>
      </c>
      <c r="AD20" s="18">
        <f t="shared" si="18"/>
        <v>0.6518557485819253</v>
      </c>
      <c r="AE20" s="17">
        <f t="shared" si="19"/>
        <v>2.690296274061772</v>
      </c>
      <c r="AF20" s="17">
        <f t="shared" si="20"/>
        <v>17.033238232221528</v>
      </c>
      <c r="AG20" s="18">
        <f t="shared" si="21"/>
        <v>0.4249159169593022</v>
      </c>
    </row>
    <row r="21" spans="1:33" x14ac:dyDescent="0.25">
      <c r="A21" s="17">
        <v>17</v>
      </c>
      <c r="B21" s="12">
        <v>64</v>
      </c>
      <c r="C21" s="18">
        <f t="shared" si="2"/>
        <v>0.90760869565217395</v>
      </c>
      <c r="D21" s="19">
        <f t="shared" si="3"/>
        <v>1.3261723710779094</v>
      </c>
      <c r="E21" s="17">
        <f t="shared" si="4"/>
        <v>84.875031748986203</v>
      </c>
      <c r="F21" s="17">
        <f t="shared" si="5"/>
        <v>4096</v>
      </c>
      <c r="G21" s="18">
        <f t="shared" si="6"/>
        <v>1.7587331578104042</v>
      </c>
      <c r="H21" s="1"/>
      <c r="I21" s="17">
        <v>17</v>
      </c>
      <c r="J21" s="12">
        <v>64</v>
      </c>
      <c r="K21" s="12">
        <f t="shared" si="7"/>
        <v>4.1588830833596715</v>
      </c>
      <c r="L21" s="18">
        <f t="shared" si="8"/>
        <v>0.90760869565217395</v>
      </c>
      <c r="M21" s="19">
        <f t="shared" si="9"/>
        <v>1.3261723710779094</v>
      </c>
      <c r="N21" s="17">
        <f t="shared" si="10"/>
        <v>5.5153958396949028</v>
      </c>
      <c r="O21" s="17">
        <f t="shared" si="11"/>
        <v>17.296308501055247</v>
      </c>
      <c r="P21" s="18">
        <f t="shared" si="12"/>
        <v>1.7587331578104042</v>
      </c>
      <c r="R21" s="17">
        <v>17</v>
      </c>
      <c r="S21" s="12">
        <v>64</v>
      </c>
      <c r="T21" s="18">
        <f t="shared" si="0"/>
        <v>0.90760869565217395</v>
      </c>
      <c r="U21" s="18">
        <f t="shared" si="13"/>
        <v>2.3817224135527701</v>
      </c>
      <c r="V21" s="17">
        <f t="shared" si="14"/>
        <v>152.43023446737729</v>
      </c>
      <c r="W21" s="17">
        <f t="shared" si="15"/>
        <v>4096</v>
      </c>
      <c r="X21" s="18">
        <f t="shared" si="16"/>
        <v>5.6726016552196326</v>
      </c>
      <c r="Z21" s="17">
        <v>17</v>
      </c>
      <c r="AA21" s="12">
        <v>64</v>
      </c>
      <c r="AB21" s="12">
        <f t="shared" si="17"/>
        <v>4.1588830833596715</v>
      </c>
      <c r="AC21" s="18">
        <f t="shared" si="1"/>
        <v>0.90760869565217395</v>
      </c>
      <c r="AD21" s="18">
        <f t="shared" si="18"/>
        <v>0.86782392910995165</v>
      </c>
      <c r="AE21" s="17">
        <f t="shared" si="19"/>
        <v>3.6091782581101008</v>
      </c>
      <c r="AF21" s="17">
        <f t="shared" si="20"/>
        <v>17.296308501055247</v>
      </c>
      <c r="AG21" s="18">
        <f t="shared" si="21"/>
        <v>0.75311837193583442</v>
      </c>
    </row>
    <row r="22" spans="1:33" x14ac:dyDescent="0.25">
      <c r="A22" s="17">
        <v>18</v>
      </c>
      <c r="B22" s="12">
        <v>105</v>
      </c>
      <c r="C22" s="18">
        <f t="shared" si="2"/>
        <v>0.96195652173913049</v>
      </c>
      <c r="D22" s="19">
        <f t="shared" si="3"/>
        <v>1.7738560957392409</v>
      </c>
      <c r="E22" s="17">
        <f t="shared" si="4"/>
        <v>186.25489005262028</v>
      </c>
      <c r="F22" s="17">
        <f t="shared" si="5"/>
        <v>11025</v>
      </c>
      <c r="G22" s="18">
        <f t="shared" si="6"/>
        <v>3.1465654483912626</v>
      </c>
      <c r="H22" s="1"/>
      <c r="I22" s="17">
        <v>18</v>
      </c>
      <c r="J22" s="12">
        <v>105</v>
      </c>
      <c r="K22" s="12">
        <f t="shared" si="7"/>
        <v>4.6539603501575231</v>
      </c>
      <c r="L22" s="18">
        <f t="shared" si="8"/>
        <v>0.96195652173913049</v>
      </c>
      <c r="M22" s="19">
        <f t="shared" si="9"/>
        <v>1.7738560957392409</v>
      </c>
      <c r="N22" s="17">
        <f t="shared" si="10"/>
        <v>8.2554559364556539</v>
      </c>
      <c r="O22" s="17">
        <f t="shared" si="11"/>
        <v>21.659346940838336</v>
      </c>
      <c r="P22" s="18">
        <f t="shared" si="12"/>
        <v>3.1465654483912626</v>
      </c>
      <c r="R22" s="17">
        <v>18</v>
      </c>
      <c r="S22" s="12">
        <v>105</v>
      </c>
      <c r="T22" s="18">
        <f t="shared" si="0"/>
        <v>0.96195652173913049</v>
      </c>
      <c r="U22" s="18">
        <f t="shared" si="13"/>
        <v>3.2690256085536737</v>
      </c>
      <c r="V22" s="17">
        <f t="shared" si="14"/>
        <v>343.24768889813572</v>
      </c>
      <c r="W22" s="17">
        <f t="shared" si="15"/>
        <v>11025</v>
      </c>
      <c r="X22" s="18">
        <f t="shared" si="16"/>
        <v>10.686528429379717</v>
      </c>
      <c r="Z22" s="17">
        <v>18</v>
      </c>
      <c r="AA22" s="12">
        <v>105</v>
      </c>
      <c r="AB22" s="12">
        <f t="shared" si="17"/>
        <v>4.6539603501575231</v>
      </c>
      <c r="AC22" s="18">
        <f t="shared" si="1"/>
        <v>0.96195652173913049</v>
      </c>
      <c r="AD22" s="18">
        <f t="shared" si="18"/>
        <v>1.1844919614690141</v>
      </c>
      <c r="AE22" s="17">
        <f t="shared" si="19"/>
        <v>5.5125786237571042</v>
      </c>
      <c r="AF22" s="17">
        <f t="shared" si="20"/>
        <v>21.659346940838336</v>
      </c>
      <c r="AG22" s="18">
        <f t="shared" si="21"/>
        <v>1.4030212067847125</v>
      </c>
    </row>
    <row r="23" spans="1:33" x14ac:dyDescent="0.25">
      <c r="A23" s="17" t="s">
        <v>17</v>
      </c>
      <c r="B23" s="13">
        <f>SUM(B5:B22)</f>
        <v>720</v>
      </c>
      <c r="C23" s="14">
        <f>SUM(C5:C22)</f>
        <v>9.0000000000000018</v>
      </c>
      <c r="D23" s="36">
        <f>SUM(D5:D22)</f>
        <v>0</v>
      </c>
      <c r="E23" s="13">
        <f>SUM(E5:E22)</f>
        <v>332.17104368152513</v>
      </c>
      <c r="F23" s="13">
        <f t="shared" ref="F23:G23" si="22">SUM(F5:F22)</f>
        <v>37232</v>
      </c>
      <c r="G23" s="13">
        <f t="shared" si="22"/>
        <v>15.114372388418781</v>
      </c>
      <c r="H23" s="1"/>
      <c r="I23" s="17" t="s">
        <v>17</v>
      </c>
      <c r="J23" s="13">
        <f>SUM(J5:J22)</f>
        <v>720</v>
      </c>
      <c r="K23" s="14">
        <f>SUM(K5:K22)</f>
        <v>64.053229328559851</v>
      </c>
      <c r="L23" s="15">
        <f>SUM(L5:L22)</f>
        <v>9.0000000000000018</v>
      </c>
      <c r="M23" s="13">
        <f>SUM(M5:M22)</f>
        <v>0</v>
      </c>
      <c r="N23" s="13">
        <f t="shared" ref="N23" si="23">SUM(N5:N22)</f>
        <v>8.2886770033388082</v>
      </c>
      <c r="O23" s="13">
        <f t="shared" ref="O23:P23" si="24">SUM(O5:O22)</f>
        <v>232.55041249168693</v>
      </c>
      <c r="P23" s="13">
        <f t="shared" si="24"/>
        <v>15.114372388418781</v>
      </c>
      <c r="R23" s="17" t="s">
        <v>17</v>
      </c>
      <c r="S23" s="13">
        <f>SUM(S5:S22)</f>
        <v>720</v>
      </c>
      <c r="T23" s="15">
        <f>SUM(T5:T22)</f>
        <v>9.0000000000000018</v>
      </c>
      <c r="U23" s="13">
        <f>SUM(U5:U22)</f>
        <v>17.160656638590428</v>
      </c>
      <c r="V23" s="13">
        <f t="shared" ref="V23" si="25">SUM(V5:V22)</f>
        <v>1013.4152498629009</v>
      </c>
      <c r="W23" s="13">
        <f t="shared" ref="W23" si="26">SUM(W5:W22)</f>
        <v>37232</v>
      </c>
      <c r="X23" s="13">
        <f t="shared" ref="X23" si="27">SUM(X5:X22)</f>
        <v>29.411105672474026</v>
      </c>
      <c r="Z23" s="17" t="s">
        <v>17</v>
      </c>
      <c r="AA23" s="13">
        <f>SUM(AA5:AA22)</f>
        <v>720</v>
      </c>
      <c r="AB23" s="13">
        <f>SUM(AB5:AB22)</f>
        <v>64.053229328559851</v>
      </c>
      <c r="AC23" s="15">
        <f>SUM(AC5:AC22)</f>
        <v>9.0000000000000018</v>
      </c>
      <c r="AD23" s="13">
        <f>SUM(AD5:AD22)</f>
        <v>-9.7522440558469015</v>
      </c>
      <c r="AE23" s="13">
        <f t="shared" ref="AE23" si="28">SUM(AE5:AE22)</f>
        <v>-24.729962685152799</v>
      </c>
      <c r="AF23" s="13">
        <f t="shared" ref="AF23" si="29">SUM(AF5:AF22)</f>
        <v>232.55041249168693</v>
      </c>
      <c r="AG23" s="13">
        <f t="shared" ref="AG23" si="30">SUM(AG5:AG22)</f>
        <v>28.332287257298887</v>
      </c>
    </row>
    <row r="24" spans="1:33" x14ac:dyDescent="0.25">
      <c r="A24" s="40"/>
      <c r="B24" s="40"/>
      <c r="C24" s="40"/>
      <c r="D24" s="40"/>
      <c r="E24" s="40"/>
      <c r="F24" s="41">
        <f>((18*E23)-(B23*D23))/(SQRT((18*F23-(B23^2))*(18*G23-(D23^2))))</f>
        <v>0.93046793841053044</v>
      </c>
      <c r="G24" s="41"/>
      <c r="H24" s="1"/>
      <c r="I24" s="40"/>
      <c r="J24" s="40"/>
      <c r="K24" s="40"/>
      <c r="L24" s="40"/>
      <c r="M24" s="40"/>
      <c r="N24" s="41">
        <f>((18*N23)-(K23*M23))/(SQRT((18*O23-(K23^2))*(18*P23-(M23^2))))</f>
        <v>0.99231326353057692</v>
      </c>
      <c r="O24" s="41"/>
      <c r="P24" s="41"/>
      <c r="R24" s="40"/>
      <c r="S24" s="40"/>
      <c r="T24" s="40"/>
      <c r="U24" s="40"/>
      <c r="V24" s="40"/>
      <c r="W24" s="41">
        <f>((18*V23)-(S23*U23))/(SQRT((18*W23-(S23^2))*(18*X23-(U23^2))))</f>
        <v>0.98571573933287349</v>
      </c>
      <c r="X24" s="41"/>
      <c r="Z24" s="40"/>
      <c r="AA24" s="40"/>
      <c r="AB24" s="40"/>
      <c r="AC24" s="40"/>
      <c r="AD24" s="40"/>
      <c r="AE24" s="41">
        <f>((18*AE23)-(AB23*AD23))/(SQRT((18*AF23-(AB23^2))*(18*AG23-(AD23^2))))</f>
        <v>0.96690734545205148</v>
      </c>
      <c r="AF24" s="41"/>
      <c r="AG24" s="41"/>
    </row>
    <row r="25" spans="1:33" x14ac:dyDescent="0.25">
      <c r="A25" s="40"/>
      <c r="B25" s="40"/>
      <c r="C25" s="40"/>
      <c r="D25" s="40"/>
      <c r="E25" s="40"/>
      <c r="F25" s="41"/>
      <c r="G25" s="41"/>
      <c r="H25" s="1"/>
      <c r="I25" s="40"/>
      <c r="J25" s="40"/>
      <c r="K25" s="40"/>
      <c r="L25" s="40"/>
      <c r="M25" s="40"/>
      <c r="N25" s="41"/>
      <c r="O25" s="41"/>
      <c r="P25" s="41"/>
      <c r="R25" s="40"/>
      <c r="S25" s="40"/>
      <c r="T25" s="40"/>
      <c r="U25" s="40"/>
      <c r="V25" s="40"/>
      <c r="W25" s="41"/>
      <c r="X25" s="41"/>
      <c r="Z25" s="40"/>
      <c r="AA25" s="40"/>
      <c r="AB25" s="40"/>
      <c r="AC25" s="40"/>
      <c r="AD25" s="40"/>
      <c r="AE25" s="41"/>
      <c r="AF25" s="41"/>
      <c r="AG25" s="41"/>
    </row>
    <row r="26" spans="1:33" x14ac:dyDescent="0.25">
      <c r="A26" s="40"/>
      <c r="B26" s="40"/>
      <c r="C26" s="40"/>
      <c r="D26" s="40"/>
      <c r="E26" s="40"/>
      <c r="F26" s="41"/>
      <c r="G26" s="41"/>
      <c r="H26" s="1"/>
      <c r="I26" s="40"/>
      <c r="J26" s="40"/>
      <c r="K26" s="40"/>
      <c r="L26" s="40"/>
      <c r="M26" s="40"/>
      <c r="N26" s="41"/>
      <c r="O26" s="41"/>
      <c r="P26" s="41"/>
      <c r="R26" s="40"/>
      <c r="S26" s="40"/>
      <c r="T26" s="40"/>
      <c r="U26" s="40"/>
      <c r="V26" s="40"/>
      <c r="W26" s="41"/>
      <c r="X26" s="41"/>
      <c r="Z26" s="40"/>
      <c r="AA26" s="40"/>
      <c r="AB26" s="40"/>
      <c r="AC26" s="40"/>
      <c r="AD26" s="40"/>
      <c r="AE26" s="41"/>
      <c r="AF26" s="41"/>
      <c r="AG26" s="41"/>
    </row>
    <row r="27" spans="1:33" x14ac:dyDescent="0.25">
      <c r="H27" s="1"/>
      <c r="I27" s="1" t="s">
        <v>123</v>
      </c>
      <c r="J27" s="1"/>
      <c r="K27" s="1"/>
      <c r="L27" s="1"/>
      <c r="M27" s="1"/>
      <c r="N27" s="1">
        <f>((18*N23)-(K23*M23))/((18*O23)-((K23)^2))</f>
        <v>1.7955706361924206</v>
      </c>
      <c r="O27" s="1"/>
      <c r="P27" s="1"/>
    </row>
    <row r="28" spans="1:33" x14ac:dyDescent="0.25">
      <c r="H28" s="1"/>
      <c r="I28" s="1" t="s">
        <v>49</v>
      </c>
      <c r="J28" s="1"/>
      <c r="K28" s="1"/>
      <c r="L28" s="1"/>
      <c r="M28" s="1"/>
      <c r="N28" s="1">
        <f>1/N27</f>
        <v>0.55692601552035848</v>
      </c>
      <c r="O28" s="1"/>
      <c r="P28" s="1"/>
    </row>
    <row r="29" spans="1:33" x14ac:dyDescent="0.25">
      <c r="I29" s="37" t="s">
        <v>124</v>
      </c>
      <c r="N29">
        <f>(M23/I22)-(N27*(K23/I22))</f>
        <v>-6.389560985314513</v>
      </c>
    </row>
    <row r="30" spans="1:33" x14ac:dyDescent="0.25">
      <c r="I30" s="37" t="s">
        <v>48</v>
      </c>
      <c r="N30">
        <f>EXP(-N28*N29)</f>
        <v>35.110939215426789</v>
      </c>
    </row>
    <row r="31" spans="1:33" x14ac:dyDescent="0.25">
      <c r="A31" s="16"/>
      <c r="B31" s="16"/>
      <c r="C31" s="16"/>
      <c r="D31" s="16"/>
      <c r="E31" s="16"/>
      <c r="F31" s="16"/>
      <c r="G31" s="16"/>
      <c r="H31" s="16"/>
    </row>
    <row r="32" spans="1:33" x14ac:dyDescent="0.25">
      <c r="A32" s="16"/>
      <c r="B32" s="16"/>
      <c r="C32" s="16"/>
      <c r="D32" s="16"/>
      <c r="E32" s="16"/>
      <c r="F32" s="16"/>
      <c r="G32" s="16"/>
      <c r="H32" s="16"/>
    </row>
    <row r="33" spans="1:11" x14ac:dyDescent="0.25">
      <c r="A33" s="17"/>
      <c r="B33" s="17"/>
      <c r="C33" s="17"/>
      <c r="D33" s="17"/>
      <c r="E33" s="17"/>
      <c r="F33" s="17"/>
      <c r="G33" s="17"/>
      <c r="H33" s="17"/>
    </row>
    <row r="34" spans="1:11" x14ac:dyDescent="0.25">
      <c r="A34" s="17"/>
      <c r="C34" s="12"/>
      <c r="D34" s="18"/>
      <c r="E34" s="19"/>
      <c r="F34" s="17"/>
      <c r="G34" s="17"/>
      <c r="H34" s="18"/>
      <c r="K34" s="5"/>
    </row>
    <row r="35" spans="1:11" x14ac:dyDescent="0.25">
      <c r="A35" s="17"/>
      <c r="C35" s="12"/>
      <c r="D35" s="18"/>
      <c r="E35" s="19"/>
      <c r="F35" s="17"/>
      <c r="G35" s="17"/>
      <c r="H35" s="18"/>
    </row>
    <row r="36" spans="1:11" x14ac:dyDescent="0.25">
      <c r="A36" s="17"/>
      <c r="C36" s="12"/>
      <c r="D36" s="18"/>
      <c r="E36" s="19"/>
      <c r="F36" s="17"/>
      <c r="G36" s="17"/>
      <c r="H36" s="18"/>
    </row>
    <row r="37" spans="1:11" x14ac:dyDescent="0.25">
      <c r="A37" s="17"/>
      <c r="C37" s="12"/>
      <c r="D37" s="18"/>
      <c r="E37" s="19"/>
      <c r="F37" s="17"/>
      <c r="G37" s="17"/>
      <c r="H37" s="18"/>
    </row>
    <row r="38" spans="1:11" x14ac:dyDescent="0.25">
      <c r="A38" s="17"/>
      <c r="C38" s="12"/>
      <c r="D38" s="18"/>
      <c r="E38" s="19"/>
      <c r="F38" s="17"/>
      <c r="G38" s="17"/>
      <c r="H38" s="18"/>
    </row>
    <row r="39" spans="1:11" x14ac:dyDescent="0.25">
      <c r="A39" s="17"/>
      <c r="C39" s="12"/>
      <c r="D39" s="18"/>
      <c r="E39" s="19"/>
      <c r="F39" s="17"/>
      <c r="G39" s="17"/>
      <c r="H39" s="18"/>
    </row>
    <row r="40" spans="1:11" x14ac:dyDescent="0.25">
      <c r="A40" s="17"/>
      <c r="C40" s="12"/>
      <c r="D40" s="18"/>
      <c r="E40" s="19"/>
      <c r="F40" s="17"/>
      <c r="G40" s="17"/>
      <c r="H40" s="18"/>
    </row>
    <row r="41" spans="1:11" x14ac:dyDescent="0.25">
      <c r="A41" s="17"/>
      <c r="C41" s="12"/>
      <c r="D41" s="18"/>
      <c r="E41" s="19"/>
      <c r="F41" s="17"/>
      <c r="G41" s="17"/>
      <c r="H41" s="18"/>
    </row>
    <row r="42" spans="1:11" x14ac:dyDescent="0.25">
      <c r="A42" s="17"/>
      <c r="B42" s="13"/>
      <c r="C42" s="14"/>
      <c r="D42" s="15"/>
      <c r="E42" s="13"/>
      <c r="F42" s="13"/>
      <c r="G42" s="13"/>
      <c r="H42" s="13"/>
    </row>
    <row r="43" spans="1:11" ht="15.75" x14ac:dyDescent="0.25">
      <c r="A43" s="17"/>
      <c r="B43" s="11"/>
      <c r="C43" s="12"/>
      <c r="D43" s="18"/>
      <c r="E43" s="19"/>
      <c r="F43" s="17"/>
      <c r="G43" s="17"/>
      <c r="H43" s="18"/>
    </row>
    <row r="44" spans="1:11" ht="15.75" x14ac:dyDescent="0.25">
      <c r="A44" s="17"/>
      <c r="B44" s="11"/>
      <c r="C44" s="12"/>
      <c r="D44" s="18"/>
      <c r="E44" s="19"/>
      <c r="F44" s="17"/>
      <c r="G44" s="17"/>
      <c r="H44" s="18"/>
    </row>
    <row r="45" spans="1:11" ht="15.75" x14ac:dyDescent="0.25">
      <c r="A45" s="17"/>
      <c r="B45" s="11"/>
      <c r="C45" s="12"/>
      <c r="D45" s="18"/>
      <c r="E45" s="19"/>
      <c r="F45" s="17"/>
      <c r="G45" s="17"/>
      <c r="H45" s="18"/>
    </row>
    <row r="46" spans="1:11" ht="15.75" x14ac:dyDescent="0.25">
      <c r="A46" s="17"/>
      <c r="B46" s="11"/>
      <c r="C46" s="12"/>
      <c r="D46" s="18"/>
      <c r="E46" s="19"/>
      <c r="F46" s="17"/>
      <c r="G46" s="17"/>
      <c r="H46" s="18"/>
    </row>
    <row r="47" spans="1:11" ht="15.75" x14ac:dyDescent="0.25">
      <c r="A47" s="17"/>
      <c r="B47" s="11"/>
      <c r="C47" s="12"/>
      <c r="D47" s="18"/>
      <c r="E47" s="19"/>
      <c r="F47" s="17"/>
      <c r="G47" s="17"/>
      <c r="H47" s="18"/>
    </row>
    <row r="48" spans="1:11" ht="15.75" x14ac:dyDescent="0.25">
      <c r="A48" s="17"/>
      <c r="B48" s="11"/>
      <c r="C48" s="12"/>
      <c r="D48" s="18"/>
      <c r="E48" s="19"/>
      <c r="F48" s="17"/>
      <c r="G48" s="17"/>
      <c r="H48" s="18"/>
    </row>
  </sheetData>
  <mergeCells count="12">
    <mergeCell ref="R2:X3"/>
    <mergeCell ref="Z2:AG3"/>
    <mergeCell ref="A24:E26"/>
    <mergeCell ref="F24:G26"/>
    <mergeCell ref="I24:M26"/>
    <mergeCell ref="N24:P26"/>
    <mergeCell ref="R24:V26"/>
    <mergeCell ref="W24:X26"/>
    <mergeCell ref="Z24:AD26"/>
    <mergeCell ref="A2:G3"/>
    <mergeCell ref="I2:P3"/>
    <mergeCell ref="AE24:AG26"/>
  </mergeCells>
  <pageMargins left="0.7" right="0.7" top="0.75" bottom="0.75" header="0.3" footer="0.3"/>
  <pageSetup scale="2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70" zoomScaleNormal="70" workbookViewId="0">
      <selection activeCell="S22" sqref="S22"/>
    </sheetView>
  </sheetViews>
  <sheetFormatPr defaultRowHeight="15" x14ac:dyDescent="0.25"/>
  <cols>
    <col min="2" max="2" width="11.42578125" bestFit="1" customWidth="1"/>
    <col min="6" max="6" width="13" bestFit="1" customWidth="1"/>
    <col min="8" max="8" width="21.42578125" bestFit="1" customWidth="1"/>
  </cols>
  <sheetData>
    <row r="1" spans="1:8" x14ac:dyDescent="0.25">
      <c r="A1" t="s">
        <v>21</v>
      </c>
      <c r="B1" t="s">
        <v>24</v>
      </c>
      <c r="C1" t="s">
        <v>22</v>
      </c>
      <c r="D1" t="s">
        <v>23</v>
      </c>
      <c r="E1" t="s">
        <v>25</v>
      </c>
      <c r="F1" t="s">
        <v>28</v>
      </c>
      <c r="G1" t="s">
        <v>26</v>
      </c>
      <c r="H1" t="s">
        <v>27</v>
      </c>
    </row>
    <row r="2" spans="1:8" x14ac:dyDescent="0.25">
      <c r="A2">
        <v>1</v>
      </c>
      <c r="B2">
        <v>2</v>
      </c>
      <c r="C2">
        <v>83</v>
      </c>
      <c r="D2">
        <v>83</v>
      </c>
      <c r="E2">
        <f>(D2-0.3)/($D$7+0.4)</f>
        <v>0.26815823605706879</v>
      </c>
      <c r="F2">
        <f>LN(B2)</f>
        <v>0.69314718055994529</v>
      </c>
      <c r="G2">
        <f>1-E2</f>
        <v>0.73184176394293121</v>
      </c>
      <c r="H2">
        <f>LN(LN(1/G2))</f>
        <v>-1.1641402339541689</v>
      </c>
    </row>
    <row r="3" spans="1:8" x14ac:dyDescent="0.25">
      <c r="A3">
        <v>2</v>
      </c>
      <c r="B3">
        <v>3</v>
      </c>
      <c r="C3">
        <v>91</v>
      </c>
      <c r="D3">
        <v>174</v>
      </c>
      <c r="E3">
        <f t="shared" ref="E3:E7" si="0">(D3-0.3)/($D$7+0.4)</f>
        <v>0.5632295719844358</v>
      </c>
      <c r="F3">
        <f t="shared" ref="F3:F7" si="1">LN(B3)</f>
        <v>1.0986122886681098</v>
      </c>
      <c r="G3">
        <f t="shared" ref="G3:G7" si="2">1-E3</f>
        <v>0.4367704280155642</v>
      </c>
      <c r="H3">
        <f t="shared" ref="H3:H7" si="3">LN(LN(1/G3))</f>
        <v>-0.18832245630175254</v>
      </c>
    </row>
    <row r="4" spans="1:8" x14ac:dyDescent="0.25">
      <c r="A4">
        <v>3</v>
      </c>
      <c r="B4">
        <v>4</v>
      </c>
      <c r="C4">
        <v>83</v>
      </c>
      <c r="D4">
        <v>257</v>
      </c>
      <c r="E4">
        <f t="shared" si="0"/>
        <v>0.83236057068741898</v>
      </c>
      <c r="F4">
        <f t="shared" si="1"/>
        <v>1.3862943611198906</v>
      </c>
      <c r="G4">
        <f t="shared" si="2"/>
        <v>0.16763942931258102</v>
      </c>
      <c r="H4">
        <f t="shared" si="3"/>
        <v>0.57994480897291134</v>
      </c>
    </row>
    <row r="5" spans="1:8" x14ac:dyDescent="0.25">
      <c r="A5">
        <v>4</v>
      </c>
      <c r="B5">
        <v>5</v>
      </c>
      <c r="C5">
        <v>24</v>
      </c>
      <c r="D5">
        <v>281</v>
      </c>
      <c r="E5">
        <f t="shared" si="0"/>
        <v>0.91018158236057067</v>
      </c>
      <c r="F5">
        <f t="shared" si="1"/>
        <v>1.6094379124341003</v>
      </c>
      <c r="G5">
        <f t="shared" si="2"/>
        <v>8.9818417639429327E-2</v>
      </c>
      <c r="H5">
        <f t="shared" si="3"/>
        <v>0.87961231938847118</v>
      </c>
    </row>
    <row r="6" spans="1:8" x14ac:dyDescent="0.25">
      <c r="A6">
        <v>5</v>
      </c>
      <c r="B6">
        <v>6</v>
      </c>
      <c r="C6">
        <v>19</v>
      </c>
      <c r="D6">
        <v>300</v>
      </c>
      <c r="E6">
        <f t="shared" si="0"/>
        <v>0.97178988326848248</v>
      </c>
      <c r="F6">
        <f t="shared" si="1"/>
        <v>1.791759469228055</v>
      </c>
      <c r="G6">
        <f t="shared" si="2"/>
        <v>2.8210116731517521E-2</v>
      </c>
      <c r="H6">
        <f t="shared" si="3"/>
        <v>1.2720261270631779</v>
      </c>
    </row>
    <row r="7" spans="1:8" x14ac:dyDescent="0.25">
      <c r="A7">
        <v>6</v>
      </c>
      <c r="B7">
        <v>7</v>
      </c>
      <c r="C7">
        <v>8</v>
      </c>
      <c r="D7">
        <v>308</v>
      </c>
      <c r="E7">
        <f t="shared" si="0"/>
        <v>0.99773022049286642</v>
      </c>
      <c r="F7">
        <f t="shared" si="1"/>
        <v>1.9459101490553132</v>
      </c>
      <c r="G7">
        <f t="shared" si="2"/>
        <v>2.2697795071335847E-3</v>
      </c>
      <c r="H7">
        <f t="shared" si="3"/>
        <v>1.8063315432261395</v>
      </c>
    </row>
    <row r="8" spans="1:8" x14ac:dyDescent="0.25">
      <c r="A8" t="s">
        <v>17</v>
      </c>
      <c r="B8">
        <f>SUM(B2:B7)</f>
        <v>27</v>
      </c>
      <c r="C8">
        <f t="shared" ref="C8:H8" si="4">SUM(C2:C7)</f>
        <v>308</v>
      </c>
      <c r="D8">
        <f t="shared" si="4"/>
        <v>1403</v>
      </c>
      <c r="E8">
        <f t="shared" si="4"/>
        <v>4.5434500648508429</v>
      </c>
      <c r="F8">
        <f t="shared" si="4"/>
        <v>8.5251613610654147</v>
      </c>
      <c r="G8">
        <f t="shared" si="4"/>
        <v>1.4565499351491566</v>
      </c>
      <c r="H8">
        <f t="shared" si="4"/>
        <v>3.1854521083947782</v>
      </c>
    </row>
    <row r="9" spans="1:8" x14ac:dyDescent="0.25">
      <c r="A9" t="s">
        <v>13</v>
      </c>
      <c r="B9" t="s">
        <v>29</v>
      </c>
      <c r="C9" t="s">
        <v>33</v>
      </c>
      <c r="D9" t="s">
        <v>34</v>
      </c>
      <c r="E9" t="s">
        <v>36</v>
      </c>
      <c r="F9" t="s">
        <v>37</v>
      </c>
    </row>
    <row r="10" spans="1:8" x14ac:dyDescent="0.25">
      <c r="A10">
        <f>F2*H2</f>
        <v>-0.80692052094172728</v>
      </c>
      <c r="B10">
        <f>F2^2</f>
        <v>0.48045301391820139</v>
      </c>
      <c r="C10">
        <f>B2*H2</f>
        <v>-2.3282804679083378</v>
      </c>
      <c r="D10">
        <f>B2^2</f>
        <v>4</v>
      </c>
      <c r="E10">
        <f>C2*H2</f>
        <v>-96.623639418196021</v>
      </c>
      <c r="F10">
        <f>C2^2</f>
        <v>6889</v>
      </c>
    </row>
    <row r="11" spans="1:8" x14ac:dyDescent="0.25">
      <c r="A11">
        <f>F3*H3</f>
        <v>-0.20689336472526845</v>
      </c>
      <c r="B11">
        <f>F3^2</f>
        <v>1.2069489608125821</v>
      </c>
      <c r="C11">
        <f t="shared" ref="C11:C15" si="5">B3*H3</f>
        <v>-0.56496736890525767</v>
      </c>
      <c r="D11">
        <f t="shared" ref="D11:D15" si="6">B3^2</f>
        <v>9</v>
      </c>
      <c r="E11">
        <f t="shared" ref="E11:E15" si="7">C3*H3</f>
        <v>-17.137343523459482</v>
      </c>
      <c r="F11">
        <f t="shared" ref="F11:F15" si="8">C3^2</f>
        <v>8281</v>
      </c>
    </row>
    <row r="12" spans="1:8" x14ac:dyDescent="0.25">
      <c r="A12">
        <f>F4*H4</f>
        <v>0.80397421843989914</v>
      </c>
      <c r="B12">
        <f t="shared" ref="B12:B15" si="9">F4^2</f>
        <v>1.9218120556728056</v>
      </c>
      <c r="C12">
        <f t="shared" si="5"/>
        <v>2.3197792358916454</v>
      </c>
      <c r="D12">
        <f t="shared" si="6"/>
        <v>16</v>
      </c>
      <c r="E12">
        <f t="shared" si="7"/>
        <v>48.135419144751644</v>
      </c>
      <c r="F12">
        <f t="shared" si="8"/>
        <v>6889</v>
      </c>
    </row>
    <row r="13" spans="1:8" x14ac:dyDescent="0.25">
      <c r="A13">
        <f t="shared" ref="A13:A15" si="10">F5*H5</f>
        <v>1.415681415067898</v>
      </c>
      <c r="B13">
        <f t="shared" si="9"/>
        <v>2.5902903939802346</v>
      </c>
      <c r="C13">
        <f t="shared" si="5"/>
        <v>4.3980615969423562</v>
      </c>
      <c r="D13">
        <f t="shared" si="6"/>
        <v>25</v>
      </c>
      <c r="E13">
        <f t="shared" si="7"/>
        <v>21.110695665323309</v>
      </c>
      <c r="F13">
        <f t="shared" si="8"/>
        <v>576</v>
      </c>
    </row>
    <row r="14" spans="1:8" x14ac:dyDescent="0.25">
      <c r="A14">
        <f t="shared" si="10"/>
        <v>2.2791648582709381</v>
      </c>
      <c r="B14">
        <f t="shared" si="9"/>
        <v>3.2104019955684011</v>
      </c>
      <c r="C14">
        <f t="shared" si="5"/>
        <v>7.6321567623790667</v>
      </c>
      <c r="D14">
        <f t="shared" si="6"/>
        <v>36</v>
      </c>
      <c r="E14">
        <f t="shared" si="7"/>
        <v>24.16849641420038</v>
      </c>
      <c r="F14">
        <f t="shared" si="8"/>
        <v>361</v>
      </c>
    </row>
    <row r="15" spans="1:8" x14ac:dyDescent="0.25">
      <c r="A15">
        <f t="shared" si="10"/>
        <v>3.5149588825224911</v>
      </c>
      <c r="B15">
        <f t="shared" si="9"/>
        <v>3.7865663081964716</v>
      </c>
      <c r="C15">
        <f t="shared" si="5"/>
        <v>12.644320802582977</v>
      </c>
      <c r="D15">
        <f t="shared" si="6"/>
        <v>49</v>
      </c>
      <c r="E15">
        <f t="shared" si="7"/>
        <v>14.450652345809116</v>
      </c>
      <c r="F15">
        <f t="shared" si="8"/>
        <v>64</v>
      </c>
    </row>
    <row r="16" spans="1:8" x14ac:dyDescent="0.25">
      <c r="A16">
        <f t="shared" ref="A16:F16" si="11">SUM(A10:A15)</f>
        <v>6.9999654886342304</v>
      </c>
      <c r="B16">
        <f t="shared" si="11"/>
        <v>13.196472728148697</v>
      </c>
      <c r="C16">
        <f t="shared" si="11"/>
        <v>24.10107056098245</v>
      </c>
      <c r="D16">
        <f t="shared" si="11"/>
        <v>139</v>
      </c>
      <c r="E16">
        <f t="shared" si="11"/>
        <v>-5.8957193715710599</v>
      </c>
      <c r="F16">
        <f t="shared" si="11"/>
        <v>23060</v>
      </c>
    </row>
    <row r="18" spans="1:8" x14ac:dyDescent="0.25">
      <c r="A18" t="s">
        <v>30</v>
      </c>
      <c r="B18">
        <f>SUM(H2:H8)/6</f>
        <v>1.061817369464926</v>
      </c>
      <c r="H18">
        <f>((H8/6)-((F19*(F8/6))))</f>
        <v>-2.7135161306017399</v>
      </c>
    </row>
    <row r="19" spans="1:8" x14ac:dyDescent="0.25">
      <c r="A19" t="s">
        <v>31</v>
      </c>
      <c r="B19">
        <f>SUM(F2:F8)/6</f>
        <v>2.8417204536884717</v>
      </c>
      <c r="C19" t="s">
        <v>35</v>
      </c>
      <c r="D19">
        <f>B8/6</f>
        <v>4.5</v>
      </c>
      <c r="F19">
        <f>((6*A16)-(F8*H8))/((6*B16)-(F8^2))</f>
        <v>2.283422925096684</v>
      </c>
    </row>
    <row r="20" spans="1:8" x14ac:dyDescent="0.25">
      <c r="A20" t="s">
        <v>32</v>
      </c>
      <c r="C20" t="s">
        <v>38</v>
      </c>
      <c r="D20">
        <f>C8/6</f>
        <v>51.333333333333336</v>
      </c>
    </row>
    <row r="21" spans="1:8" x14ac:dyDescent="0.25">
      <c r="B21">
        <f>B18*F8</f>
        <v>9.0521644106705068</v>
      </c>
    </row>
    <row r="22" spans="1:8" x14ac:dyDescent="0.25">
      <c r="A22">
        <f>A16-B21</f>
        <v>-2.0521989220362764</v>
      </c>
      <c r="B22">
        <f>B19*F8</f>
        <v>24.226125410734237</v>
      </c>
    </row>
    <row r="23" spans="1:8" x14ac:dyDescent="0.25">
      <c r="A23">
        <f>B16-B22</f>
        <v>-11.029652682585541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A7" sqref="A7"/>
    </sheetView>
  </sheetViews>
  <sheetFormatPr defaultRowHeight="15" x14ac:dyDescent="0.25"/>
  <cols>
    <col min="1" max="1" width="27.5703125" bestFit="1" customWidth="1"/>
    <col min="2" max="2" width="10.28515625" bestFit="1" customWidth="1"/>
    <col min="3" max="3" width="11.7109375" bestFit="1" customWidth="1"/>
  </cols>
  <sheetData>
    <row r="1" spans="1:5" x14ac:dyDescent="0.25">
      <c r="A1" s="40" t="s">
        <v>88</v>
      </c>
      <c r="B1" s="40"/>
      <c r="D1" t="s">
        <v>46</v>
      </c>
    </row>
    <row r="2" spans="1:5" x14ac:dyDescent="0.25">
      <c r="A2" s="8" t="s">
        <v>39</v>
      </c>
      <c r="B2" s="8" t="s">
        <v>44</v>
      </c>
      <c r="D2" s="21" t="s">
        <v>47</v>
      </c>
      <c r="E2">
        <f>'Distribusi Kerusakan'!K23/18</f>
        <v>3.5585127404755474</v>
      </c>
    </row>
    <row r="3" spans="1:5" x14ac:dyDescent="0.25">
      <c r="A3" s="20" t="s">
        <v>40</v>
      </c>
      <c r="B3" s="8">
        <f>'Distribusi Kerusakan'!F24</f>
        <v>0.93046793841053044</v>
      </c>
      <c r="D3" t="s">
        <v>48</v>
      </c>
      <c r="E3">
        <f>EXP(E2)</f>
        <v>35.110939215426789</v>
      </c>
    </row>
    <row r="4" spans="1:5" x14ac:dyDescent="0.25">
      <c r="A4" s="20" t="s">
        <v>41</v>
      </c>
      <c r="B4" s="8">
        <f>'Distribusi Kerusakan'!N24</f>
        <v>0.99231326353057692</v>
      </c>
      <c r="D4" t="s">
        <v>50</v>
      </c>
      <c r="E4">
        <f>_xlfn.VAR.P('Distribusi Kerusakan'!K5:K22)</f>
        <v>0.25645443652248373</v>
      </c>
    </row>
    <row r="5" spans="1:5" x14ac:dyDescent="0.25">
      <c r="A5" s="20" t="s">
        <v>42</v>
      </c>
      <c r="B5" s="8">
        <f>'Distribusi Kerusakan'!W24</f>
        <v>0.98571573933287349</v>
      </c>
      <c r="D5" t="s">
        <v>49</v>
      </c>
      <c r="E5">
        <f>_xlfn.STDEV.P('Distribusi Kerusakan'!K5:K22)</f>
        <v>0.5064133060282715</v>
      </c>
    </row>
    <row r="6" spans="1:5" x14ac:dyDescent="0.25">
      <c r="A6" s="20" t="s">
        <v>43</v>
      </c>
      <c r="B6" s="8">
        <f>'Distribusi Kerusakan'!AE24</f>
        <v>0.96690734545205148</v>
      </c>
      <c r="D6" t="s">
        <v>45</v>
      </c>
      <c r="E6">
        <f>E3*EXP(E4/2)</f>
        <v>39.914511668468982</v>
      </c>
    </row>
    <row r="8" spans="1:5" x14ac:dyDescent="0.25">
      <c r="A8" s="40"/>
      <c r="B8" s="40"/>
    </row>
    <row r="9" spans="1:5" x14ac:dyDescent="0.25">
      <c r="A9" s="8"/>
      <c r="B9" s="8"/>
      <c r="D9" s="21"/>
    </row>
    <row r="10" spans="1:5" x14ac:dyDescent="0.25">
      <c r="A10" s="20"/>
      <c r="B10" s="8"/>
      <c r="D10" s="21"/>
    </row>
    <row r="11" spans="1:5" x14ac:dyDescent="0.25">
      <c r="A11" s="20"/>
      <c r="B11" s="8"/>
    </row>
    <row r="12" spans="1:5" x14ac:dyDescent="0.25">
      <c r="A12" s="20"/>
      <c r="B12" s="8"/>
    </row>
    <row r="13" spans="1:5" x14ac:dyDescent="0.25">
      <c r="A13" s="20"/>
      <c r="B13" s="8"/>
    </row>
  </sheetData>
  <mergeCells count="2">
    <mergeCell ref="A1:B1"/>
    <mergeCell ref="A8:B8"/>
  </mergeCells>
  <conditionalFormatting sqref="B3:B6">
    <cfRule type="top10" dxfId="10" priority="1" rank="1"/>
    <cfRule type="top10" dxfId="9" priority="3" rank="1"/>
  </conditionalFormatting>
  <conditionalFormatting sqref="B10:B13">
    <cfRule type="top10" dxfId="8" priority="2" rank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="90" zoomScaleNormal="90" workbookViewId="0">
      <selection activeCell="F15" sqref="F15"/>
    </sheetView>
  </sheetViews>
  <sheetFormatPr defaultRowHeight="15" x14ac:dyDescent="0.25"/>
  <cols>
    <col min="1" max="1" width="25" bestFit="1" customWidth="1"/>
    <col min="2" max="2" width="15.42578125" bestFit="1" customWidth="1"/>
    <col min="3" max="3" width="15.28515625" bestFit="1" customWidth="1"/>
    <col min="4" max="4" width="22.140625" bestFit="1" customWidth="1"/>
    <col min="5" max="5" width="15.42578125" bestFit="1" customWidth="1"/>
    <col min="6" max="6" width="15.28515625" bestFit="1" customWidth="1"/>
  </cols>
  <sheetData>
    <row r="1" spans="1:5" x14ac:dyDescent="0.25">
      <c r="A1" s="28" t="s">
        <v>5</v>
      </c>
      <c r="B1" s="28">
        <v>24000</v>
      </c>
      <c r="C1" s="28" t="s">
        <v>74</v>
      </c>
      <c r="D1" s="28" t="s">
        <v>75</v>
      </c>
      <c r="E1" s="28"/>
    </row>
    <row r="2" spans="1:5" x14ac:dyDescent="0.25">
      <c r="A2" s="28" t="s">
        <v>6</v>
      </c>
      <c r="B2" s="28">
        <v>1125</v>
      </c>
      <c r="C2" s="28" t="s">
        <v>74</v>
      </c>
      <c r="D2" s="28" t="s">
        <v>76</v>
      </c>
      <c r="E2" s="28"/>
    </row>
    <row r="3" spans="1:5" x14ac:dyDescent="0.25">
      <c r="A3" s="28" t="s">
        <v>54</v>
      </c>
      <c r="B3" s="35">
        <f>B1*B2</f>
        <v>27000000</v>
      </c>
      <c r="C3" s="28"/>
      <c r="D3" s="28"/>
      <c r="E3" s="28"/>
    </row>
    <row r="4" spans="1:5" x14ac:dyDescent="0.25">
      <c r="A4" s="31" t="s">
        <v>118</v>
      </c>
      <c r="B4" s="32"/>
      <c r="C4" s="32"/>
      <c r="D4" s="32"/>
      <c r="E4" s="33"/>
    </row>
    <row r="5" spans="1:5" x14ac:dyDescent="0.25">
      <c r="A5" s="28" t="s">
        <v>2</v>
      </c>
      <c r="B5" s="28" t="s">
        <v>3</v>
      </c>
      <c r="C5" s="28" t="s">
        <v>55</v>
      </c>
      <c r="D5" s="28" t="s">
        <v>57</v>
      </c>
      <c r="E5" s="28" t="s">
        <v>62</v>
      </c>
    </row>
    <row r="6" spans="1:5" x14ac:dyDescent="0.25">
      <c r="A6" s="29" t="s">
        <v>83</v>
      </c>
      <c r="B6" s="28">
        <v>60</v>
      </c>
      <c r="C6" s="28">
        <f>B6/1440</f>
        <v>4.1666666666666664E-2</v>
      </c>
      <c r="D6" s="30">
        <f>C6*B3</f>
        <v>1125000</v>
      </c>
      <c r="E6" s="30">
        <f>D6+'Cost of Preventive &amp; MTTR Prev'!D4</f>
        <v>8325000</v>
      </c>
    </row>
    <row r="7" spans="1:5" x14ac:dyDescent="0.25">
      <c r="A7" s="10"/>
      <c r="B7" s="10"/>
      <c r="C7" s="10"/>
      <c r="D7" s="23"/>
    </row>
    <row r="9" spans="1:5" x14ac:dyDescent="0.25">
      <c r="C9" s="23">
        <f>E6-6468750</f>
        <v>1856250</v>
      </c>
    </row>
    <row r="10" spans="1:5" x14ac:dyDescent="0.25">
      <c r="C10">
        <f>C9/E6*100</f>
        <v>22.297297297297298</v>
      </c>
    </row>
    <row r="17" spans="2:2" x14ac:dyDescent="0.25">
      <c r="B17" s="23">
        <f>E6*18</f>
        <v>149850000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F17" sqref="F17"/>
    </sheetView>
  </sheetViews>
  <sheetFormatPr defaultRowHeight="15" x14ac:dyDescent="0.25"/>
  <cols>
    <col min="1" max="1" width="25" bestFit="1" customWidth="1"/>
    <col min="2" max="2" width="15.42578125" bestFit="1" customWidth="1"/>
    <col min="3" max="3" width="11.28515625" bestFit="1" customWidth="1"/>
    <col min="4" max="4" width="21" bestFit="1" customWidth="1"/>
    <col min="5" max="5" width="14" bestFit="1" customWidth="1"/>
  </cols>
  <sheetData>
    <row r="1" spans="1:5" x14ac:dyDescent="0.25">
      <c r="A1" t="s">
        <v>5</v>
      </c>
      <c r="B1" t="s">
        <v>119</v>
      </c>
    </row>
    <row r="2" spans="1:5" x14ac:dyDescent="0.25">
      <c r="A2" t="s">
        <v>6</v>
      </c>
      <c r="B2" t="s">
        <v>120</v>
      </c>
    </row>
    <row r="3" spans="1:5" x14ac:dyDescent="0.25">
      <c r="A3" t="s">
        <v>7</v>
      </c>
      <c r="B3" t="s">
        <v>51</v>
      </c>
      <c r="C3" t="s">
        <v>52</v>
      </c>
      <c r="D3" t="s">
        <v>53</v>
      </c>
    </row>
    <row r="4" spans="1:5" x14ac:dyDescent="0.25">
      <c r="A4" t="s">
        <v>83</v>
      </c>
      <c r="B4">
        <f>'KLASIFIKASI KOMPONEN'!C2</f>
        <v>600000</v>
      </c>
      <c r="C4">
        <f>'KLASIFIKASI KOMPONEN'!B2</f>
        <v>12</v>
      </c>
      <c r="D4" s="22">
        <f>B4*C4</f>
        <v>7200000</v>
      </c>
    </row>
    <row r="5" spans="1:5" x14ac:dyDescent="0.25">
      <c r="A5" s="40" t="s">
        <v>56</v>
      </c>
      <c r="B5" s="40"/>
      <c r="C5" s="40"/>
      <c r="D5" s="22">
        <f>SUM(D4:D4)</f>
        <v>7200000</v>
      </c>
    </row>
    <row r="7" spans="1:5" x14ac:dyDescent="0.25">
      <c r="A7" t="s">
        <v>5</v>
      </c>
      <c r="B7">
        <v>24000</v>
      </c>
      <c r="C7" t="s">
        <v>74</v>
      </c>
    </row>
    <row r="8" spans="1:5" x14ac:dyDescent="0.25">
      <c r="A8" t="s">
        <v>6</v>
      </c>
      <c r="B8">
        <v>1125</v>
      </c>
      <c r="C8" t="s">
        <v>77</v>
      </c>
    </row>
    <row r="9" spans="1:5" x14ac:dyDescent="0.25">
      <c r="A9" t="s">
        <v>54</v>
      </c>
      <c r="B9">
        <f>B7*B8</f>
        <v>27000000</v>
      </c>
      <c r="D9" s="22"/>
    </row>
    <row r="11" spans="1:5" ht="75" x14ac:dyDescent="0.25">
      <c r="A11" s="1" t="s">
        <v>2</v>
      </c>
      <c r="B11" s="24" t="s">
        <v>72</v>
      </c>
      <c r="C11" s="24" t="s">
        <v>55</v>
      </c>
      <c r="D11" s="1" t="s">
        <v>57</v>
      </c>
      <c r="E11" s="1" t="s">
        <v>73</v>
      </c>
    </row>
    <row r="12" spans="1:5" x14ac:dyDescent="0.25">
      <c r="A12" s="1" t="s">
        <v>83</v>
      </c>
      <c r="B12">
        <v>30</v>
      </c>
      <c r="C12">
        <f>B12/1440</f>
        <v>2.0833333333333332E-2</v>
      </c>
      <c r="D12" s="23">
        <f>C12*B9</f>
        <v>562500</v>
      </c>
      <c r="E12" s="23">
        <f>D12+D4</f>
        <v>7762500</v>
      </c>
    </row>
  </sheetData>
  <mergeCells count="1"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KLASIFIKASI KOMPONEN</vt:lpstr>
      <vt:lpstr>TTF</vt:lpstr>
      <vt:lpstr>MTTR Corrective</vt:lpstr>
      <vt:lpstr>Data Biaya-Biaya</vt:lpstr>
      <vt:lpstr>Distribusi Kerusakan</vt:lpstr>
      <vt:lpstr>Data Ref UI</vt:lpstr>
      <vt:lpstr>MTTF &amp; Summary Dist</vt:lpstr>
      <vt:lpstr> Cost of Failure &amp; Production L</vt:lpstr>
      <vt:lpstr>Cost of Preventive &amp; MTTR Prev</vt:lpstr>
      <vt:lpstr>AGE.R SENSOR</vt:lpstr>
      <vt:lpstr>COST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2020-06-06T01:29:18Z</cp:lastPrinted>
  <dcterms:created xsi:type="dcterms:W3CDTF">2020-02-19T19:49:58Z</dcterms:created>
  <dcterms:modified xsi:type="dcterms:W3CDTF">2020-06-06T01:33:36Z</dcterms:modified>
</cp:coreProperties>
</file>